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8580" tabRatio="819"/>
  </bookViews>
  <sheets>
    <sheet name="Summary 2015" sheetId="75" r:id="rId1"/>
    <sheet name="Database Inputs" sheetId="33" r:id="rId2"/>
    <sheet name="Total Program Inputs" sheetId="76" r:id="rId3"/>
    <sheet name="Summary of Ratios" sheetId="12" r:id="rId4"/>
    <sheet name="Gas Input Table Summary" sheetId="27" r:id="rId5"/>
    <sheet name="Total Program" sheetId="52" r:id="rId6"/>
    <sheet name="Res .95+% Res Furnace - NEW" sheetId="34" r:id="rId7"/>
    <sheet name="Res .95+% Res Furnace - Replace" sheetId="57" r:id="rId8"/>
    <sheet name="Res Water Heating .67 EF" sheetId="39" r:id="rId9"/>
    <sheet name="Programmable Thermostats" sheetId="60" r:id="rId10"/>
    <sheet name="Comm 95+ Furnace - New" sheetId="82" r:id="rId11"/>
    <sheet name="Comm 95+% Furnace - Replace" sheetId="63" r:id="rId12"/>
    <sheet name="Custom" sheetId="80" r:id="rId13"/>
    <sheet name="Gas Costs" sheetId="83" r:id="rId14"/>
  </sheets>
  <externalReferences>
    <externalReference r:id="rId15"/>
  </externalReferences>
  <definedNames>
    <definedName name="_Key1" localSheetId="11" hidden="1">#REF!</definedName>
    <definedName name="_Key1" localSheetId="13" hidden="1">#REF!</definedName>
    <definedName name="_Key1" localSheetId="9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5" hidden="1">#REF!</definedName>
    <definedName name="_Key1" hidden="1">#REF!</definedName>
    <definedName name="_Order1" hidden="1">255</definedName>
    <definedName name="_Sort" localSheetId="11" hidden="1">#REF!</definedName>
    <definedName name="_Sort" localSheetId="13" hidden="1">#REF!</definedName>
    <definedName name="_Sort" localSheetId="9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5" hidden="1">#REF!</definedName>
    <definedName name="_Sort" hidden="1">#REF!</definedName>
    <definedName name="_xlnm.Print_Area" localSheetId="10">'Comm 95+ Furnace - New'!$A$1:$CG$52</definedName>
    <definedName name="_xlnm.Print_Area" localSheetId="11">'Comm 95+% Furnace - Replace'!$A$1:$CG$52</definedName>
    <definedName name="_xlnm.Print_Area" localSheetId="12">Custom!$A$1:$CG$52</definedName>
    <definedName name="_xlnm.Print_Area" localSheetId="1">'Database Inputs'!$A$1:$M$20</definedName>
    <definedName name="_xlnm.Print_Area" localSheetId="13">'Gas Costs'!$A$1:$G$59</definedName>
    <definedName name="_xlnm.Print_Area" localSheetId="4">'Gas Input Table Summary'!$A$1:$E$59</definedName>
    <definedName name="_xlnm.Print_Area" localSheetId="9">'Programmable Thermostats'!$A$1:$CG$52</definedName>
    <definedName name="_xlnm.Print_Area" localSheetId="6">'Res .95+% Res Furnace - NEW'!$A$1:$CF$52</definedName>
    <definedName name="_xlnm.Print_Area" localSheetId="7">'Res .95+% Res Furnace - Replace'!$A$1:$CG$52</definedName>
    <definedName name="_xlnm.Print_Area" localSheetId="8">'Res Water Heating .67 EF'!$A$1:$CG$52</definedName>
    <definedName name="_xlnm.Print_Area" localSheetId="0">'Summary 2015'!$A$1:$K$27</definedName>
    <definedName name="_xlnm.Print_Area" localSheetId="3">'Summary of Ratios'!$A$1:$G$17</definedName>
    <definedName name="_xlnm.Print_Area" localSheetId="5">'Total Program'!$A$1:$CG$52</definedName>
    <definedName name="_xlnm.Print_Area" localSheetId="2">'Total Program Inputs'!$A$1:$M$26</definedName>
    <definedName name="_xlnm.Print_Titles" localSheetId="1">'Database Inputs'!$A:$A</definedName>
    <definedName name="_xlnm.Print_Titles" localSheetId="4">'Gas Input Table Summary'!$1:$6</definedName>
    <definedName name="_xlnm.Print_Titles" localSheetId="3">'Summary of Ratios'!$1:$8</definedName>
  </definedNames>
  <calcPr calcId="145621" calcMode="manual"/>
</workbook>
</file>

<file path=xl/calcChain.xml><?xml version="1.0" encoding="utf-8"?>
<calcChain xmlns="http://schemas.openxmlformats.org/spreadsheetml/2006/main">
  <c r="BN14" i="52" l="1"/>
  <c r="T14" i="80" l="1"/>
  <c r="T14" i="63"/>
  <c r="N14" i="80"/>
  <c r="N14" i="63"/>
  <c r="N14" i="82"/>
  <c r="T14" i="82"/>
  <c r="T14" i="60"/>
  <c r="N14" i="60"/>
  <c r="T14" i="39"/>
  <c r="N14" i="39"/>
  <c r="T14" i="57"/>
  <c r="N14" i="57"/>
  <c r="E28" i="27" l="1"/>
  <c r="E22" i="27"/>
  <c r="E21" i="27" l="1"/>
  <c r="C47" i="34" l="1"/>
  <c r="C47" i="82" s="1"/>
  <c r="C45" i="34"/>
  <c r="C45" i="82" s="1"/>
  <c r="C47" i="52"/>
  <c r="C45" i="52"/>
  <c r="I13" i="76"/>
  <c r="C45" i="60" l="1"/>
  <c r="C45" i="80"/>
  <c r="C45" i="57"/>
  <c r="C45" i="63"/>
  <c r="C47" i="57"/>
  <c r="C47" i="63"/>
  <c r="C47" i="60"/>
  <c r="C47" i="80"/>
  <c r="C45" i="39"/>
  <c r="C47" i="39"/>
  <c r="C16" i="83" l="1"/>
  <c r="C23" i="83" l="1"/>
  <c r="C58" i="83" l="1"/>
  <c r="G12" i="33"/>
  <c r="Q18" i="76"/>
  <c r="G17" i="33" s="1"/>
  <c r="Q14" i="76"/>
  <c r="G13" i="33" s="1"/>
  <c r="Q13" i="76"/>
  <c r="Q12" i="76"/>
  <c r="G11" i="33" s="1"/>
  <c r="Q11" i="76"/>
  <c r="G10" i="33" s="1"/>
  <c r="C59" i="83" l="1"/>
  <c r="D19" i="27" s="1"/>
  <c r="G50" i="83" l="1"/>
  <c r="G49" i="83"/>
  <c r="G46" i="83"/>
  <c r="C45" i="83"/>
  <c r="C47" i="83" s="1"/>
  <c r="G47" i="83" s="1"/>
  <c r="G43" i="83"/>
  <c r="G37" i="83"/>
  <c r="G36" i="83"/>
  <c r="G34" i="83"/>
  <c r="C24" i="83"/>
  <c r="D14" i="27" s="1"/>
  <c r="C17" i="83"/>
  <c r="E17" i="83" s="1"/>
  <c r="D12" i="27" s="1"/>
  <c r="C11" i="83"/>
  <c r="D7" i="27" s="1"/>
  <c r="E9" i="83"/>
  <c r="E11" i="83" s="1"/>
  <c r="E7" i="27" s="1"/>
  <c r="G38" i="83" l="1"/>
  <c r="G40" i="83" s="1"/>
  <c r="D9" i="27" s="1"/>
  <c r="G45" i="83"/>
  <c r="G51" i="83" s="1"/>
  <c r="G53" i="83" s="1"/>
  <c r="E9" i="27" s="1"/>
  <c r="E12" i="27"/>
  <c r="C18" i="33" l="1"/>
  <c r="C17" i="33"/>
  <c r="C16" i="33"/>
  <c r="C13" i="33"/>
  <c r="C12" i="33"/>
  <c r="C11" i="33"/>
  <c r="C10" i="33"/>
  <c r="C19" i="75" l="1"/>
  <c r="C18" i="75"/>
  <c r="C17" i="75"/>
  <c r="C13" i="75"/>
  <c r="C12" i="75"/>
  <c r="C11" i="75"/>
  <c r="C10" i="75"/>
  <c r="Q27" i="76" l="1"/>
  <c r="E27" i="27" l="1"/>
  <c r="C20" i="75" l="1"/>
  <c r="C20" i="76"/>
  <c r="C15" i="76"/>
  <c r="G19" i="76" l="1"/>
  <c r="BR35" i="52"/>
  <c r="BN35" i="52"/>
  <c r="BM35" i="52"/>
  <c r="BL35" i="52"/>
  <c r="BK35" i="52"/>
  <c r="BJ35" i="52"/>
  <c r="BI35" i="52"/>
  <c r="BI34" i="52"/>
  <c r="BI33" i="52"/>
  <c r="BI32" i="52"/>
  <c r="BI31" i="52"/>
  <c r="BI30" i="52"/>
  <c r="BI29" i="52"/>
  <c r="BI28" i="52"/>
  <c r="BI27" i="52"/>
  <c r="BI26" i="52"/>
  <c r="BI25" i="52"/>
  <c r="BI24" i="52"/>
  <c r="BI23" i="52"/>
  <c r="BI22" i="52"/>
  <c r="BI21" i="52"/>
  <c r="BI20" i="52"/>
  <c r="BI19" i="52"/>
  <c r="BI18" i="52"/>
  <c r="BI17" i="52"/>
  <c r="BC35" i="52"/>
  <c r="BC34" i="52"/>
  <c r="BC33" i="52"/>
  <c r="BC32" i="52"/>
  <c r="BC31" i="52"/>
  <c r="BC30" i="52"/>
  <c r="BC29" i="52"/>
  <c r="BC28" i="52"/>
  <c r="BC27" i="52"/>
  <c r="BC26" i="52"/>
  <c r="BC25" i="52"/>
  <c r="BC24" i="52"/>
  <c r="BC23" i="52"/>
  <c r="BC22" i="52"/>
  <c r="BC21" i="52"/>
  <c r="BC20" i="52"/>
  <c r="BC19" i="52"/>
  <c r="BC18" i="52"/>
  <c r="BC17" i="52"/>
  <c r="BB35" i="52"/>
  <c r="BB34" i="52"/>
  <c r="BB33" i="52"/>
  <c r="BB32" i="52"/>
  <c r="BB31" i="52"/>
  <c r="BB30" i="52"/>
  <c r="BB29" i="52"/>
  <c r="BB28" i="52"/>
  <c r="BB27" i="52"/>
  <c r="BB26" i="52"/>
  <c r="BB25" i="52"/>
  <c r="BB24" i="52"/>
  <c r="BB23" i="52"/>
  <c r="BB22" i="52"/>
  <c r="BB21" i="52"/>
  <c r="BB20" i="52"/>
  <c r="BB19" i="52"/>
  <c r="BB18" i="52"/>
  <c r="BB17" i="52"/>
  <c r="AW35" i="52"/>
  <c r="AV35" i="52"/>
  <c r="AU35" i="52"/>
  <c r="Z35" i="52"/>
  <c r="Z34" i="52"/>
  <c r="Z33" i="52"/>
  <c r="Z32" i="52"/>
  <c r="Z31" i="52"/>
  <c r="Z30" i="52"/>
  <c r="Z29" i="52"/>
  <c r="Z28" i="52"/>
  <c r="Z27" i="52"/>
  <c r="Z26" i="52"/>
  <c r="Z25" i="52"/>
  <c r="Z24" i="52"/>
  <c r="Z23" i="52"/>
  <c r="Z22" i="52"/>
  <c r="Z21" i="52"/>
  <c r="Z20" i="52"/>
  <c r="Z19" i="52"/>
  <c r="Z18" i="52"/>
  <c r="Z17" i="52"/>
  <c r="Y35" i="52"/>
  <c r="Y34" i="52"/>
  <c r="Y33" i="52"/>
  <c r="Y32" i="52"/>
  <c r="Y31" i="52"/>
  <c r="Y30" i="52"/>
  <c r="Y29" i="52"/>
  <c r="Y28" i="52"/>
  <c r="Y27" i="52"/>
  <c r="Y26" i="52"/>
  <c r="Y25" i="52"/>
  <c r="Y24" i="52"/>
  <c r="Y23" i="52"/>
  <c r="Y22" i="52"/>
  <c r="Y21" i="52"/>
  <c r="Y20" i="52"/>
  <c r="Y19" i="52"/>
  <c r="Y18" i="52"/>
  <c r="Y17" i="52"/>
  <c r="X35" i="52"/>
  <c r="U35" i="52"/>
  <c r="T35" i="52"/>
  <c r="S35" i="52"/>
  <c r="R35" i="52"/>
  <c r="Q35" i="52"/>
  <c r="P35" i="52"/>
  <c r="O35" i="52"/>
  <c r="N35" i="52"/>
  <c r="M35" i="52"/>
  <c r="F30" i="82"/>
  <c r="F27" i="82"/>
  <c r="F23" i="82"/>
  <c r="F15" i="82"/>
  <c r="G17" i="76"/>
  <c r="C43" i="82"/>
  <c r="C41" i="82"/>
  <c r="C39" i="82"/>
  <c r="H38" i="82"/>
  <c r="C37" i="82"/>
  <c r="H36" i="82"/>
  <c r="C36" i="82"/>
  <c r="CD34" i="82"/>
  <c r="CE34" i="82" s="1"/>
  <c r="CC34" i="82"/>
  <c r="BR34" i="82"/>
  <c r="BD34" i="82"/>
  <c r="AK34" i="82"/>
  <c r="AL34" i="82" s="1"/>
  <c r="AJ34" i="82"/>
  <c r="C34" i="82"/>
  <c r="CD33" i="82"/>
  <c r="CC33" i="82"/>
  <c r="CE33" i="82" s="1"/>
  <c r="BR33" i="82"/>
  <c r="BD33" i="82"/>
  <c r="AK33" i="82"/>
  <c r="AJ33" i="82"/>
  <c r="C33" i="82"/>
  <c r="CD32" i="82"/>
  <c r="CE32" i="82" s="1"/>
  <c r="CC32" i="82"/>
  <c r="BR32" i="82"/>
  <c r="BD32" i="82"/>
  <c r="AK32" i="82"/>
  <c r="AL32" i="82" s="1"/>
  <c r="AJ32" i="82"/>
  <c r="CD31" i="82"/>
  <c r="CC31" i="82"/>
  <c r="BR31" i="82"/>
  <c r="BD31" i="82"/>
  <c r="AK31" i="82"/>
  <c r="AJ31" i="82"/>
  <c r="C31" i="82"/>
  <c r="CD30" i="82"/>
  <c r="CE30" i="82" s="1"/>
  <c r="CC30" i="82"/>
  <c r="BR30" i="82"/>
  <c r="BD30" i="82"/>
  <c r="AK30" i="82"/>
  <c r="AL30" i="82" s="1"/>
  <c r="AJ30" i="82"/>
  <c r="CD29" i="82"/>
  <c r="CC29" i="82"/>
  <c r="CE29" i="82" s="1"/>
  <c r="BR29" i="82"/>
  <c r="BD29" i="82"/>
  <c r="AK29" i="82"/>
  <c r="AJ29" i="82"/>
  <c r="AL29" i="82" s="1"/>
  <c r="C29" i="82"/>
  <c r="CD28" i="82"/>
  <c r="CC28" i="82"/>
  <c r="CE28" i="82" s="1"/>
  <c r="BR28" i="82"/>
  <c r="BD28" i="82"/>
  <c r="AL28" i="82"/>
  <c r="AK28" i="82"/>
  <c r="AJ28" i="82"/>
  <c r="CD27" i="82"/>
  <c r="CC27" i="82"/>
  <c r="BR27" i="82"/>
  <c r="BD27" i="82"/>
  <c r="AK27" i="82"/>
  <c r="AJ27" i="82"/>
  <c r="AL27" i="82" s="1"/>
  <c r="CE26" i="82"/>
  <c r="CD26" i="82"/>
  <c r="CC26" i="82"/>
  <c r="BR26" i="82"/>
  <c r="BD26" i="82"/>
  <c r="AL26" i="82"/>
  <c r="AK26" i="82"/>
  <c r="AJ26" i="82"/>
  <c r="C26" i="82"/>
  <c r="CE25" i="82"/>
  <c r="CD25" i="82"/>
  <c r="CC25" i="82"/>
  <c r="BR25" i="82"/>
  <c r="BD25" i="82"/>
  <c r="AL25" i="82"/>
  <c r="AK25" i="82"/>
  <c r="AJ25" i="82"/>
  <c r="C25" i="82"/>
  <c r="CE24" i="82"/>
  <c r="CD24" i="82"/>
  <c r="CC24" i="82"/>
  <c r="BR24" i="82"/>
  <c r="BD24" i="82"/>
  <c r="AK24" i="82"/>
  <c r="AJ24" i="82"/>
  <c r="AL24" i="82" s="1"/>
  <c r="CE23" i="82"/>
  <c r="CD23" i="82"/>
  <c r="CC23" i="82"/>
  <c r="BR23" i="82"/>
  <c r="BD23" i="82"/>
  <c r="AL23" i="82"/>
  <c r="AK23" i="82"/>
  <c r="AJ23" i="82"/>
  <c r="C23" i="82"/>
  <c r="CE22" i="82"/>
  <c r="CD22" i="82"/>
  <c r="CC22" i="82"/>
  <c r="BR22" i="82"/>
  <c r="BD22" i="82"/>
  <c r="AK22" i="82"/>
  <c r="AJ22" i="82"/>
  <c r="AL22" i="82" s="1"/>
  <c r="CE21" i="82"/>
  <c r="CD21" i="82"/>
  <c r="CC21" i="82"/>
  <c r="BR21" i="82"/>
  <c r="BD21" i="82"/>
  <c r="AK21" i="82"/>
  <c r="AL21" i="82" s="1"/>
  <c r="AJ21" i="82"/>
  <c r="F21" i="82"/>
  <c r="C21" i="82"/>
  <c r="CD20" i="82"/>
  <c r="CC20" i="82"/>
  <c r="BR20" i="82"/>
  <c r="BD20" i="82"/>
  <c r="AK20" i="82"/>
  <c r="AL20" i="82" s="1"/>
  <c r="AJ20" i="82"/>
  <c r="F20" i="82"/>
  <c r="CD19" i="82"/>
  <c r="CC19" i="82"/>
  <c r="CE19" i="82" s="1"/>
  <c r="BR19" i="82"/>
  <c r="BD19" i="82"/>
  <c r="AK19" i="82"/>
  <c r="AJ19" i="82"/>
  <c r="AL19" i="82" s="1"/>
  <c r="CD18" i="82"/>
  <c r="CC18" i="82"/>
  <c r="CE18" i="82" s="1"/>
  <c r="BR18" i="82"/>
  <c r="BD18" i="82"/>
  <c r="AK18" i="82"/>
  <c r="AJ18" i="82"/>
  <c r="AL18" i="82" s="1"/>
  <c r="F18" i="82"/>
  <c r="C18" i="82"/>
  <c r="CD17" i="82"/>
  <c r="CE17" i="82" s="1"/>
  <c r="CC17" i="82"/>
  <c r="BR17" i="82"/>
  <c r="BD17" i="82"/>
  <c r="AL17" i="82"/>
  <c r="AK17" i="82"/>
  <c r="AJ17" i="82"/>
  <c r="F17" i="82"/>
  <c r="CC16" i="82"/>
  <c r="BR16" i="82"/>
  <c r="BI16" i="82"/>
  <c r="BB16" i="82"/>
  <c r="AJ16" i="82"/>
  <c r="Z16" i="82"/>
  <c r="BC16" i="82" s="1"/>
  <c r="CD16" i="82" s="1"/>
  <c r="Y16" i="82"/>
  <c r="CC15" i="82"/>
  <c r="BR15" i="82"/>
  <c r="BI15" i="82"/>
  <c r="BB15" i="82"/>
  <c r="Z15" i="82"/>
  <c r="AK15" i="82" s="1"/>
  <c r="Y15" i="82"/>
  <c r="AJ15" i="82" s="1"/>
  <c r="AL15" i="82" s="1"/>
  <c r="C15" i="82"/>
  <c r="BW14" i="82"/>
  <c r="BW15" i="82" s="1"/>
  <c r="BW16" i="82" s="1"/>
  <c r="BW17" i="82" s="1"/>
  <c r="BW18" i="82" s="1"/>
  <c r="BW19" i="82" s="1"/>
  <c r="BW20" i="82" s="1"/>
  <c r="BW21" i="82" s="1"/>
  <c r="BW22" i="82" s="1"/>
  <c r="BW23" i="82" s="1"/>
  <c r="BW24" i="82" s="1"/>
  <c r="BW25" i="82" s="1"/>
  <c r="BW26" i="82" s="1"/>
  <c r="BW27" i="82" s="1"/>
  <c r="BW28" i="82" s="1"/>
  <c r="BW29" i="82" s="1"/>
  <c r="BW30" i="82" s="1"/>
  <c r="BW31" i="82" s="1"/>
  <c r="BW32" i="82" s="1"/>
  <c r="BW33" i="82" s="1"/>
  <c r="BW34" i="82" s="1"/>
  <c r="BH14" i="82"/>
  <c r="BH15" i="82" s="1"/>
  <c r="BH16" i="82" s="1"/>
  <c r="AQ14" i="82"/>
  <c r="AQ15" i="82" s="1"/>
  <c r="AQ16" i="82" s="1"/>
  <c r="AE14" i="82"/>
  <c r="AE15" i="82" s="1"/>
  <c r="AE16" i="82" s="1"/>
  <c r="AE17" i="82" s="1"/>
  <c r="AE18" i="82" s="1"/>
  <c r="AE19" i="82" s="1"/>
  <c r="AE20" i="82" s="1"/>
  <c r="AE21" i="82" s="1"/>
  <c r="AE22" i="82" s="1"/>
  <c r="AE23" i="82" s="1"/>
  <c r="AE24" i="82" s="1"/>
  <c r="AE25" i="82" s="1"/>
  <c r="AE26" i="82" s="1"/>
  <c r="AE27" i="82" s="1"/>
  <c r="AE28" i="82" s="1"/>
  <c r="AE29" i="82" s="1"/>
  <c r="AE30" i="82" s="1"/>
  <c r="AE31" i="82" s="1"/>
  <c r="AE32" i="82" s="1"/>
  <c r="AE33" i="82" s="1"/>
  <c r="AE34" i="82" s="1"/>
  <c r="L14" i="82"/>
  <c r="J14" i="82"/>
  <c r="C14" i="82"/>
  <c r="C13" i="82"/>
  <c r="C11" i="82"/>
  <c r="BX5" i="82"/>
  <c r="BI5" i="82"/>
  <c r="AR5" i="82"/>
  <c r="AF5" i="82"/>
  <c r="M5" i="82"/>
  <c r="AF4" i="82"/>
  <c r="AR4" i="82" s="1"/>
  <c r="BI4" i="82" s="1"/>
  <c r="BX4" i="82" s="1"/>
  <c r="M4" i="82"/>
  <c r="T15" i="82" l="1"/>
  <c r="N15" i="82"/>
  <c r="F12" i="82"/>
  <c r="W14" i="82"/>
  <c r="P14" i="82"/>
  <c r="BR14" i="82"/>
  <c r="BH17" i="82"/>
  <c r="AQ17" i="82"/>
  <c r="L15" i="82"/>
  <c r="AL16" i="82"/>
  <c r="BD16" i="82"/>
  <c r="CE16" i="82"/>
  <c r="BM14" i="82"/>
  <c r="BN14" i="82" s="1"/>
  <c r="BC15" i="82"/>
  <c r="CD15" i="82" s="1"/>
  <c r="CE15" i="82" s="1"/>
  <c r="DB21" i="82"/>
  <c r="J15" i="82"/>
  <c r="AV14" i="82"/>
  <c r="BD15" i="82"/>
  <c r="AL31" i="82"/>
  <c r="CE31" i="82"/>
  <c r="AL33" i="82"/>
  <c r="AK16" i="82"/>
  <c r="CE20" i="82"/>
  <c r="CE27" i="82"/>
  <c r="N16" i="82" l="1"/>
  <c r="T16" i="82"/>
  <c r="W15" i="82"/>
  <c r="BR36" i="82"/>
  <c r="BR37" i="82"/>
  <c r="AQ18" i="82"/>
  <c r="DB22" i="82"/>
  <c r="J16" i="82"/>
  <c r="AV15" i="82"/>
  <c r="P15" i="82"/>
  <c r="BM15" i="82"/>
  <c r="BN15" i="82" s="1"/>
  <c r="BH18" i="82"/>
  <c r="L16" i="82"/>
  <c r="N17" i="82" l="1"/>
  <c r="T17" i="82"/>
  <c r="AQ19" i="82"/>
  <c r="L17" i="82"/>
  <c r="DB23" i="82"/>
  <c r="J17" i="82"/>
  <c r="W16" i="82"/>
  <c r="P16" i="82"/>
  <c r="AV16" i="82"/>
  <c r="BM16" i="82"/>
  <c r="BN16" i="82" s="1"/>
  <c r="BH19" i="82"/>
  <c r="N18" i="82" l="1"/>
  <c r="T18" i="82"/>
  <c r="BH20" i="82"/>
  <c r="DB24" i="82"/>
  <c r="J18" i="82"/>
  <c r="AV17" i="82"/>
  <c r="P17" i="82"/>
  <c r="W17" i="82"/>
  <c r="BM17" i="82"/>
  <c r="BN17" i="82" s="1"/>
  <c r="L18" i="82"/>
  <c r="AQ20" i="82"/>
  <c r="T19" i="82" l="1"/>
  <c r="N19" i="82"/>
  <c r="DB30" i="82"/>
  <c r="J19" i="82"/>
  <c r="W18" i="82"/>
  <c r="P18" i="82"/>
  <c r="BM18" i="82"/>
  <c r="BN18" i="82" s="1"/>
  <c r="AV18" i="82"/>
  <c r="AQ21" i="82"/>
  <c r="L19" i="82"/>
  <c r="BH21" i="82"/>
  <c r="N20" i="82" l="1"/>
  <c r="T20" i="82"/>
  <c r="AQ22" i="82"/>
  <c r="BH22" i="82"/>
  <c r="L20" i="82"/>
  <c r="J20" i="82"/>
  <c r="DB31" i="82"/>
  <c r="P19" i="82"/>
  <c r="W19" i="82"/>
  <c r="AV19" i="82"/>
  <c r="BM19" i="82"/>
  <c r="BN19" i="82" s="1"/>
  <c r="N21" i="82" l="1"/>
  <c r="T21" i="82"/>
  <c r="L21" i="82"/>
  <c r="DB32" i="82"/>
  <c r="J21" i="82"/>
  <c r="AV20" i="82"/>
  <c r="P20" i="82"/>
  <c r="W20" i="82"/>
  <c r="BM20" i="82"/>
  <c r="BN20" i="82" s="1"/>
  <c r="AQ23" i="82"/>
  <c r="BH23" i="82"/>
  <c r="N22" i="82" l="1"/>
  <c r="T22" i="82"/>
  <c r="AQ24" i="82"/>
  <c r="L22" i="82"/>
  <c r="BH24" i="82"/>
  <c r="DB35" i="82"/>
  <c r="J22" i="82"/>
  <c r="AV21" i="82"/>
  <c r="W21" i="82"/>
  <c r="P21" i="82"/>
  <c r="BM21" i="82"/>
  <c r="BN21" i="82" s="1"/>
  <c r="T23" i="82" l="1"/>
  <c r="N23" i="82"/>
  <c r="BH25" i="82"/>
  <c r="AQ25" i="82"/>
  <c r="DB37" i="82"/>
  <c r="J23" i="82"/>
  <c r="P22" i="82"/>
  <c r="AV22" i="82"/>
  <c r="BM22" i="82"/>
  <c r="BN22" i="82" s="1"/>
  <c r="W22" i="82"/>
  <c r="L23" i="82"/>
  <c r="N24" i="82" l="1"/>
  <c r="T24" i="82"/>
  <c r="AQ26" i="82"/>
  <c r="J24" i="82"/>
  <c r="DB40" i="82"/>
  <c r="BM23" i="82"/>
  <c r="BN23" i="82" s="1"/>
  <c r="AV23" i="82"/>
  <c r="W23" i="82"/>
  <c r="P23" i="82"/>
  <c r="L24" i="82"/>
  <c r="BH26" i="82"/>
  <c r="N25" i="82" l="1"/>
  <c r="T25" i="82"/>
  <c r="L25" i="82"/>
  <c r="AQ27" i="82"/>
  <c r="BH27" i="82"/>
  <c r="DB41" i="82"/>
  <c r="J25" i="82"/>
  <c r="P24" i="82"/>
  <c r="BM24" i="82"/>
  <c r="BN24" i="82" s="1"/>
  <c r="W24" i="82"/>
  <c r="AV24" i="82"/>
  <c r="N26" i="82" l="1"/>
  <c r="T26" i="82"/>
  <c r="BH28" i="82"/>
  <c r="L26" i="82"/>
  <c r="J26" i="82"/>
  <c r="DB42" i="82"/>
  <c r="BM25" i="82"/>
  <c r="BN25" i="82" s="1"/>
  <c r="AV25" i="82"/>
  <c r="W25" i="82"/>
  <c r="P25" i="82"/>
  <c r="AQ28" i="82"/>
  <c r="F30" i="80"/>
  <c r="F27" i="80"/>
  <c r="F23" i="80"/>
  <c r="F15" i="80"/>
  <c r="F12" i="80"/>
  <c r="BI14" i="80" s="1"/>
  <c r="C43" i="80"/>
  <c r="C41" i="80"/>
  <c r="C39" i="80"/>
  <c r="H38" i="80"/>
  <c r="C37" i="80"/>
  <c r="H36" i="80"/>
  <c r="C36" i="80"/>
  <c r="CD34" i="80"/>
  <c r="CC34" i="80"/>
  <c r="CE34" i="80" s="1"/>
  <c r="BR34" i="80"/>
  <c r="BD34" i="80"/>
  <c r="AK34" i="80"/>
  <c r="AJ34" i="80"/>
  <c r="AL34" i="80" s="1"/>
  <c r="C34" i="80"/>
  <c r="CE33" i="80"/>
  <c r="CD33" i="80"/>
  <c r="CC33" i="80"/>
  <c r="BR33" i="80"/>
  <c r="BD33" i="80"/>
  <c r="AK33" i="80"/>
  <c r="AL33" i="80" s="1"/>
  <c r="AJ33" i="80"/>
  <c r="C33" i="80"/>
  <c r="CD32" i="80"/>
  <c r="CC32" i="80"/>
  <c r="CE32" i="80" s="1"/>
  <c r="BR32" i="80"/>
  <c r="BD32" i="80"/>
  <c r="AK32" i="80"/>
  <c r="AJ32" i="80"/>
  <c r="AL32" i="80" s="1"/>
  <c r="CD31" i="80"/>
  <c r="CE31" i="80" s="1"/>
  <c r="CC31" i="80"/>
  <c r="BR31" i="80"/>
  <c r="BD31" i="80"/>
  <c r="AL31" i="80"/>
  <c r="AK31" i="80"/>
  <c r="AJ31" i="80"/>
  <c r="C31" i="80"/>
  <c r="CD30" i="80"/>
  <c r="CC30" i="80"/>
  <c r="CE30" i="80" s="1"/>
  <c r="BR30" i="80"/>
  <c r="BD30" i="80"/>
  <c r="AK30" i="80"/>
  <c r="AJ30" i="80"/>
  <c r="AL30" i="80" s="1"/>
  <c r="CD29" i="80"/>
  <c r="CC29" i="80"/>
  <c r="BR29" i="80"/>
  <c r="BD29" i="80"/>
  <c r="AK29" i="80"/>
  <c r="AJ29" i="80"/>
  <c r="AL29" i="80" s="1"/>
  <c r="C29" i="80"/>
  <c r="CD28" i="80"/>
  <c r="CC28" i="80"/>
  <c r="CE28" i="80" s="1"/>
  <c r="BR28" i="80"/>
  <c r="BD28" i="80"/>
  <c r="AK28" i="80"/>
  <c r="AJ28" i="80"/>
  <c r="AL28" i="80" s="1"/>
  <c r="CD27" i="80"/>
  <c r="CC27" i="80"/>
  <c r="BR27" i="80"/>
  <c r="BD27" i="80"/>
  <c r="AK27" i="80"/>
  <c r="AL27" i="80" s="1"/>
  <c r="AJ27" i="80"/>
  <c r="CD26" i="80"/>
  <c r="CE26" i="80" s="1"/>
  <c r="CC26" i="80"/>
  <c r="BR26" i="80"/>
  <c r="BD26" i="80"/>
  <c r="AK26" i="80"/>
  <c r="AL26" i="80" s="1"/>
  <c r="AJ26" i="80"/>
  <c r="C26" i="80"/>
  <c r="CD25" i="80"/>
  <c r="CC25" i="80"/>
  <c r="CE25" i="80" s="1"/>
  <c r="BR25" i="80"/>
  <c r="BD25" i="80"/>
  <c r="AK25" i="80"/>
  <c r="AJ25" i="80"/>
  <c r="AL25" i="80" s="1"/>
  <c r="C25" i="80"/>
  <c r="CE24" i="80"/>
  <c r="CD24" i="80"/>
  <c r="CC24" i="80"/>
  <c r="BR24" i="80"/>
  <c r="BD24" i="80"/>
  <c r="AK24" i="80"/>
  <c r="AL24" i="80" s="1"/>
  <c r="AJ24" i="80"/>
  <c r="CD23" i="80"/>
  <c r="CC23" i="80"/>
  <c r="CE23" i="80" s="1"/>
  <c r="BR23" i="80"/>
  <c r="BD23" i="80"/>
  <c r="AK23" i="80"/>
  <c r="AJ23" i="80"/>
  <c r="AL23" i="80" s="1"/>
  <c r="C23" i="80"/>
  <c r="CD22" i="80"/>
  <c r="CE22" i="80" s="1"/>
  <c r="CC22" i="80"/>
  <c r="BR22" i="80"/>
  <c r="BD22" i="80"/>
  <c r="AK22" i="80"/>
  <c r="AL22" i="80" s="1"/>
  <c r="AJ22" i="80"/>
  <c r="CD21" i="80"/>
  <c r="CC21" i="80"/>
  <c r="CE21" i="80" s="1"/>
  <c r="BR21" i="80"/>
  <c r="BD21" i="80"/>
  <c r="AL21" i="80"/>
  <c r="AK21" i="80"/>
  <c r="AJ21" i="80"/>
  <c r="F21" i="80"/>
  <c r="C21" i="80"/>
  <c r="CE20" i="80"/>
  <c r="CD20" i="80"/>
  <c r="CC20" i="80"/>
  <c r="BR20" i="80"/>
  <c r="BD20" i="80"/>
  <c r="AK20" i="80"/>
  <c r="AJ20" i="80"/>
  <c r="AL20" i="80" s="1"/>
  <c r="F20" i="80"/>
  <c r="CD19" i="80"/>
  <c r="CC19" i="80"/>
  <c r="CE19" i="80" s="1"/>
  <c r="BR19" i="80"/>
  <c r="BD19" i="80"/>
  <c r="AK19" i="80"/>
  <c r="AJ19" i="80"/>
  <c r="AL19" i="80" s="1"/>
  <c r="CE18" i="80"/>
  <c r="CD18" i="80"/>
  <c r="CC18" i="80"/>
  <c r="BR18" i="80"/>
  <c r="BD18" i="80"/>
  <c r="AL18" i="80"/>
  <c r="AK18" i="80"/>
  <c r="AJ18" i="80"/>
  <c r="F18" i="80"/>
  <c r="C18" i="80"/>
  <c r="CD17" i="80"/>
  <c r="CE17" i="80" s="1"/>
  <c r="CC17" i="80"/>
  <c r="BR17" i="80"/>
  <c r="BD17" i="80"/>
  <c r="AL17" i="80"/>
  <c r="AK17" i="80"/>
  <c r="AJ17" i="80"/>
  <c r="F17" i="80"/>
  <c r="CC16" i="80"/>
  <c r="CE16" i="80" s="1"/>
  <c r="BR16" i="80"/>
  <c r="BI16" i="80"/>
  <c r="BD16" i="80"/>
  <c r="BB16" i="80"/>
  <c r="Z16" i="80"/>
  <c r="BC16" i="80" s="1"/>
  <c r="CD16" i="80" s="1"/>
  <c r="Y16" i="80"/>
  <c r="AJ16" i="80" s="1"/>
  <c r="CC15" i="80"/>
  <c r="BR15" i="80"/>
  <c r="BI15" i="80"/>
  <c r="BC15" i="80"/>
  <c r="CD15" i="80" s="1"/>
  <c r="CE15" i="80" s="1"/>
  <c r="BB15" i="80"/>
  <c r="Z15" i="80"/>
  <c r="AK15" i="80" s="1"/>
  <c r="Y15" i="80"/>
  <c r="AJ15" i="80" s="1"/>
  <c r="AL15" i="80" s="1"/>
  <c r="C15" i="80"/>
  <c r="BW14" i="80"/>
  <c r="BW15" i="80" s="1"/>
  <c r="BW16" i="80" s="1"/>
  <c r="BW17" i="80" s="1"/>
  <c r="BW18" i="80" s="1"/>
  <c r="BW19" i="80" s="1"/>
  <c r="BW20" i="80" s="1"/>
  <c r="BW21" i="80" s="1"/>
  <c r="BW22" i="80" s="1"/>
  <c r="BW23" i="80" s="1"/>
  <c r="BW24" i="80" s="1"/>
  <c r="BW25" i="80" s="1"/>
  <c r="BW26" i="80" s="1"/>
  <c r="BW27" i="80" s="1"/>
  <c r="BW28" i="80" s="1"/>
  <c r="BW29" i="80" s="1"/>
  <c r="BW30" i="80" s="1"/>
  <c r="BW31" i="80" s="1"/>
  <c r="BW32" i="80" s="1"/>
  <c r="BW33" i="80" s="1"/>
  <c r="BW34" i="80" s="1"/>
  <c r="BH14" i="80"/>
  <c r="BH15" i="80" s="1"/>
  <c r="BH16" i="80" s="1"/>
  <c r="BH17" i="80" s="1"/>
  <c r="BH18" i="80" s="1"/>
  <c r="BH19" i="80" s="1"/>
  <c r="AQ14" i="80"/>
  <c r="AQ15" i="80" s="1"/>
  <c r="AQ16" i="80" s="1"/>
  <c r="AQ17" i="80" s="1"/>
  <c r="AQ18" i="80" s="1"/>
  <c r="AQ19" i="80" s="1"/>
  <c r="AE14" i="80"/>
  <c r="AE15" i="80" s="1"/>
  <c r="AE16" i="80" s="1"/>
  <c r="AE17" i="80" s="1"/>
  <c r="AE18" i="80" s="1"/>
  <c r="AE19" i="80" s="1"/>
  <c r="AE20" i="80" s="1"/>
  <c r="AE21" i="80" s="1"/>
  <c r="AE22" i="80" s="1"/>
  <c r="AE23" i="80" s="1"/>
  <c r="AE24" i="80" s="1"/>
  <c r="AE25" i="80" s="1"/>
  <c r="AE26" i="80" s="1"/>
  <c r="AE27" i="80" s="1"/>
  <c r="AE28" i="80" s="1"/>
  <c r="AE29" i="80" s="1"/>
  <c r="AE30" i="80" s="1"/>
  <c r="AE31" i="80" s="1"/>
  <c r="AE32" i="80" s="1"/>
  <c r="AE33" i="80" s="1"/>
  <c r="AE34" i="80" s="1"/>
  <c r="L14" i="80"/>
  <c r="L15" i="80" s="1"/>
  <c r="L16" i="80" s="1"/>
  <c r="L17" i="80" s="1"/>
  <c r="L18" i="80" s="1"/>
  <c r="L19" i="80" s="1"/>
  <c r="L20" i="80" s="1"/>
  <c r="L21" i="80" s="1"/>
  <c r="L22" i="80" s="1"/>
  <c r="L23" i="80" s="1"/>
  <c r="L24" i="80" s="1"/>
  <c r="L25" i="80" s="1"/>
  <c r="L26" i="80" s="1"/>
  <c r="L27" i="80" s="1"/>
  <c r="L28" i="80" s="1"/>
  <c r="L29" i="80" s="1"/>
  <c r="L30" i="80" s="1"/>
  <c r="L31" i="80" s="1"/>
  <c r="L32" i="80" s="1"/>
  <c r="L33" i="80" s="1"/>
  <c r="L34" i="80" s="1"/>
  <c r="J14" i="80"/>
  <c r="C14" i="80"/>
  <c r="C13" i="80"/>
  <c r="C11" i="80"/>
  <c r="BX5" i="80"/>
  <c r="BI5" i="80"/>
  <c r="AR5" i="80"/>
  <c r="AF5" i="80"/>
  <c r="M5" i="80"/>
  <c r="AF4" i="80"/>
  <c r="AR4" i="80" s="1"/>
  <c r="BI4" i="80" s="1"/>
  <c r="BX4" i="80" s="1"/>
  <c r="M4" i="80"/>
  <c r="DB21" i="80" l="1"/>
  <c r="N15" i="80"/>
  <c r="T15" i="80"/>
  <c r="T27" i="82"/>
  <c r="N27" i="82"/>
  <c r="AV14" i="80"/>
  <c r="J15" i="80"/>
  <c r="J16" i="80" s="1"/>
  <c r="AQ29" i="82"/>
  <c r="J27" i="82"/>
  <c r="DB43" i="82"/>
  <c r="W26" i="82"/>
  <c r="AV26" i="82"/>
  <c r="BM26" i="82"/>
  <c r="BN26" i="82" s="1"/>
  <c r="P26" i="82"/>
  <c r="BH29" i="82"/>
  <c r="L27" i="82"/>
  <c r="BR14" i="80"/>
  <c r="BR37" i="80" s="1"/>
  <c r="Z14" i="80"/>
  <c r="AK14" i="80" s="1"/>
  <c r="AQ20" i="80"/>
  <c r="AQ21" i="80" s="1"/>
  <c r="BH20" i="80"/>
  <c r="BH21" i="80" s="1"/>
  <c r="P15" i="80"/>
  <c r="M34" i="80"/>
  <c r="M32" i="80"/>
  <c r="M30" i="80"/>
  <c r="M33" i="80"/>
  <c r="M29" i="80"/>
  <c r="M31" i="80"/>
  <c r="W14" i="80"/>
  <c r="AV15" i="80"/>
  <c r="BD15" i="80"/>
  <c r="AK16" i="80"/>
  <c r="AL16" i="80" s="1"/>
  <c r="BM14" i="80"/>
  <c r="BN14" i="80" s="1"/>
  <c r="P14" i="80"/>
  <c r="CE27" i="80"/>
  <c r="CE29" i="80"/>
  <c r="T17" i="80" l="1"/>
  <c r="N17" i="80"/>
  <c r="P16" i="80"/>
  <c r="W16" i="80"/>
  <c r="N16" i="80"/>
  <c r="T16" i="80"/>
  <c r="DB22" i="80"/>
  <c r="N28" i="82"/>
  <c r="T28" i="82"/>
  <c r="BR36" i="80"/>
  <c r="BM15" i="80"/>
  <c r="BN15" i="80" s="1"/>
  <c r="W15" i="80"/>
  <c r="DB49" i="82"/>
  <c r="J28" i="82"/>
  <c r="BM27" i="82"/>
  <c r="BN27" i="82" s="1"/>
  <c r="P27" i="82"/>
  <c r="W27" i="82"/>
  <c r="AV27" i="82"/>
  <c r="L28" i="82"/>
  <c r="BH30" i="82"/>
  <c r="AQ30" i="82"/>
  <c r="BC14" i="80"/>
  <c r="AQ22" i="80"/>
  <c r="BJ29" i="80"/>
  <c r="S29" i="80"/>
  <c r="BJ30" i="80"/>
  <c r="S30" i="80"/>
  <c r="BJ34" i="80"/>
  <c r="S34" i="80"/>
  <c r="BJ31" i="80"/>
  <c r="S31" i="80"/>
  <c r="BJ33" i="80"/>
  <c r="S33" i="80"/>
  <c r="S32" i="80"/>
  <c r="BJ32" i="80"/>
  <c r="J17" i="80"/>
  <c r="AV16" i="80"/>
  <c r="DB23" i="80"/>
  <c r="BM16" i="80"/>
  <c r="BN16" i="80" s="1"/>
  <c r="BH22" i="80"/>
  <c r="E19" i="27"/>
  <c r="N29" i="82" l="1"/>
  <c r="T29" i="82"/>
  <c r="T18" i="80"/>
  <c r="N18" i="80"/>
  <c r="C28" i="82"/>
  <c r="C28" i="80"/>
  <c r="AT17" i="80" s="1"/>
  <c r="AU17" i="80" s="1"/>
  <c r="BZ17" i="80" s="1"/>
  <c r="AQ31" i="82"/>
  <c r="L29" i="82"/>
  <c r="DB50" i="82"/>
  <c r="J29" i="82"/>
  <c r="W28" i="82"/>
  <c r="AT28" i="82"/>
  <c r="AU28" i="82" s="1"/>
  <c r="BM28" i="82"/>
  <c r="BN28" i="82" s="1"/>
  <c r="AV28" i="82"/>
  <c r="P28" i="82"/>
  <c r="BH31" i="82"/>
  <c r="CD14" i="80"/>
  <c r="BH23" i="80"/>
  <c r="AQ23" i="80"/>
  <c r="DB24" i="80"/>
  <c r="BM17" i="80"/>
  <c r="BN17" i="80" s="1"/>
  <c r="AV17" i="80"/>
  <c r="W17" i="80"/>
  <c r="J18" i="80"/>
  <c r="P17" i="80"/>
  <c r="E14" i="27"/>
  <c r="N30" i="82" l="1"/>
  <c r="T30" i="82"/>
  <c r="N19" i="80"/>
  <c r="T19" i="80"/>
  <c r="AT14" i="82"/>
  <c r="AU14" i="82" s="1"/>
  <c r="BZ14" i="82" s="1"/>
  <c r="AT15" i="82"/>
  <c r="AU15" i="82" s="1"/>
  <c r="BZ15" i="82" s="1"/>
  <c r="AT16" i="82"/>
  <c r="AU16" i="82" s="1"/>
  <c r="BZ16" i="82" s="1"/>
  <c r="AT17" i="82"/>
  <c r="AU17" i="82" s="1"/>
  <c r="BZ17" i="82" s="1"/>
  <c r="AT18" i="82"/>
  <c r="AU18" i="82" s="1"/>
  <c r="BZ18" i="82" s="1"/>
  <c r="AT19" i="82"/>
  <c r="AU19" i="82" s="1"/>
  <c r="BZ19" i="82" s="1"/>
  <c r="AT20" i="82"/>
  <c r="AU20" i="82" s="1"/>
  <c r="BZ20" i="82" s="1"/>
  <c r="AT21" i="82"/>
  <c r="AU21" i="82" s="1"/>
  <c r="BZ21" i="82" s="1"/>
  <c r="AT22" i="82"/>
  <c r="AU22" i="82" s="1"/>
  <c r="BZ22" i="82" s="1"/>
  <c r="AT23" i="82"/>
  <c r="AU23" i="82" s="1"/>
  <c r="BZ23" i="82" s="1"/>
  <c r="AT24" i="82"/>
  <c r="AU24" i="82" s="1"/>
  <c r="BZ24" i="82" s="1"/>
  <c r="AT25" i="82"/>
  <c r="AU25" i="82" s="1"/>
  <c r="BZ25" i="82" s="1"/>
  <c r="AT26" i="82"/>
  <c r="AU26" i="82" s="1"/>
  <c r="BZ26" i="82" s="1"/>
  <c r="AT27" i="82"/>
  <c r="AU27" i="82" s="1"/>
  <c r="BZ27" i="82" s="1"/>
  <c r="AT14" i="80"/>
  <c r="AU14" i="80" s="1"/>
  <c r="BZ14" i="80" s="1"/>
  <c r="AT16" i="80"/>
  <c r="AU16" i="80" s="1"/>
  <c r="BZ16" i="80" s="1"/>
  <c r="AT15" i="80"/>
  <c r="AU15" i="80" s="1"/>
  <c r="BZ15" i="80" s="1"/>
  <c r="C20" i="82"/>
  <c r="C20" i="80"/>
  <c r="C17" i="82"/>
  <c r="C17" i="80"/>
  <c r="BZ28" i="82"/>
  <c r="J30" i="82"/>
  <c r="DB51" i="82"/>
  <c r="W29" i="82"/>
  <c r="BM29" i="82"/>
  <c r="BN29" i="82" s="1"/>
  <c r="AV29" i="82"/>
  <c r="P29" i="82"/>
  <c r="AT29" i="82"/>
  <c r="AU29" i="82" s="1"/>
  <c r="BH32" i="82"/>
  <c r="L30" i="82"/>
  <c r="AQ32" i="82"/>
  <c r="BH24" i="80"/>
  <c r="DB30" i="80"/>
  <c r="AV18" i="80"/>
  <c r="J19" i="80"/>
  <c r="W18" i="80"/>
  <c r="AT18" i="80"/>
  <c r="AU18" i="80" s="1"/>
  <c r="BZ18" i="80" s="1"/>
  <c r="BM18" i="80"/>
  <c r="BN18" i="80" s="1"/>
  <c r="P18" i="80"/>
  <c r="AQ24" i="80"/>
  <c r="T31" i="82" l="1"/>
  <c r="N31" i="82"/>
  <c r="N20" i="80"/>
  <c r="T20" i="80"/>
  <c r="C10" i="82"/>
  <c r="BK30" i="82" s="1"/>
  <c r="C10" i="80"/>
  <c r="BK19" i="80" s="1"/>
  <c r="BZ29" i="82"/>
  <c r="AQ33" i="82"/>
  <c r="J31" i="82"/>
  <c r="BM30" i="82"/>
  <c r="BN30" i="82" s="1"/>
  <c r="AV30" i="82"/>
  <c r="P30" i="82"/>
  <c r="W30" i="82"/>
  <c r="AT30" i="82"/>
  <c r="AU30" i="82" s="1"/>
  <c r="L31" i="82"/>
  <c r="BH33" i="82"/>
  <c r="AQ25" i="80"/>
  <c r="DB31" i="80"/>
  <c r="AV19" i="80"/>
  <c r="J20" i="80"/>
  <c r="W19" i="80"/>
  <c r="AT19" i="80"/>
  <c r="AU19" i="80" s="1"/>
  <c r="BZ19" i="80" s="1"/>
  <c r="P19" i="80"/>
  <c r="BM19" i="80"/>
  <c r="BN19" i="80" s="1"/>
  <c r="BH25" i="80"/>
  <c r="T21" i="80" l="1"/>
  <c r="N21" i="80"/>
  <c r="N32" i="82"/>
  <c r="T32" i="82"/>
  <c r="C14" i="75"/>
  <c r="BK14" i="80"/>
  <c r="BK15" i="80"/>
  <c r="BK16" i="80"/>
  <c r="BK17" i="80"/>
  <c r="BK18" i="80"/>
  <c r="BK14" i="82"/>
  <c r="BK15" i="82"/>
  <c r="BK16" i="82"/>
  <c r="BK17" i="82"/>
  <c r="BK18" i="82"/>
  <c r="BK19" i="82"/>
  <c r="BK20" i="82"/>
  <c r="BK21" i="82"/>
  <c r="BK22" i="82"/>
  <c r="BK23" i="82"/>
  <c r="BK24" i="82"/>
  <c r="BK25" i="82"/>
  <c r="BK26" i="82"/>
  <c r="BK27" i="82"/>
  <c r="BK28" i="82"/>
  <c r="BK29" i="82"/>
  <c r="BZ30" i="82"/>
  <c r="L32" i="82"/>
  <c r="J32" i="82"/>
  <c r="P31" i="82"/>
  <c r="W31" i="82"/>
  <c r="BK31" i="82"/>
  <c r="AT31" i="82"/>
  <c r="AU31" i="82" s="1"/>
  <c r="AV31" i="82"/>
  <c r="BM31" i="82"/>
  <c r="BN31" i="82" s="1"/>
  <c r="BH34" i="82"/>
  <c r="AQ34" i="82"/>
  <c r="BH26" i="80"/>
  <c r="J21" i="80"/>
  <c r="P20" i="80"/>
  <c r="DB32" i="80"/>
  <c r="BK20" i="80"/>
  <c r="AV20" i="80"/>
  <c r="W20" i="80"/>
  <c r="AT20" i="80"/>
  <c r="AU20" i="80" s="1"/>
  <c r="BZ20" i="80" s="1"/>
  <c r="BM20" i="80"/>
  <c r="BN20" i="80" s="1"/>
  <c r="AQ26" i="80"/>
  <c r="AA35" i="52"/>
  <c r="C43" i="60"/>
  <c r="C41" i="60"/>
  <c r="C39" i="60"/>
  <c r="C37" i="60"/>
  <c r="C36" i="60"/>
  <c r="C34" i="60"/>
  <c r="C33" i="60"/>
  <c r="C31" i="60"/>
  <c r="C29" i="60"/>
  <c r="C28" i="60"/>
  <c r="C26" i="60"/>
  <c r="C25" i="60"/>
  <c r="C23" i="60"/>
  <c r="C21" i="60"/>
  <c r="C20" i="60"/>
  <c r="C18" i="60"/>
  <c r="C17" i="60"/>
  <c r="C15" i="60"/>
  <c r="C14" i="60"/>
  <c r="C13" i="60"/>
  <c r="C11" i="60"/>
  <c r="C10" i="60"/>
  <c r="T22" i="80" l="1"/>
  <c r="N22" i="80"/>
  <c r="T33" i="82"/>
  <c r="N33" i="82"/>
  <c r="BZ31" i="82"/>
  <c r="J33" i="82"/>
  <c r="BK32" i="82"/>
  <c r="W32" i="82"/>
  <c r="P32" i="82"/>
  <c r="BM32" i="82"/>
  <c r="BN32" i="82" s="1"/>
  <c r="AV32" i="82"/>
  <c r="AT32" i="82"/>
  <c r="AU32" i="82" s="1"/>
  <c r="L33" i="82"/>
  <c r="M32" i="82"/>
  <c r="BH27" i="80"/>
  <c r="AQ27" i="80"/>
  <c r="J22" i="80"/>
  <c r="AV21" i="80"/>
  <c r="DB35" i="80"/>
  <c r="AT21" i="80"/>
  <c r="AU21" i="80" s="1"/>
  <c r="BZ21" i="80" s="1"/>
  <c r="BM21" i="80"/>
  <c r="BN21" i="80" s="1"/>
  <c r="BK21" i="80"/>
  <c r="P21" i="80"/>
  <c r="W21" i="80"/>
  <c r="G18" i="75"/>
  <c r="G10" i="75"/>
  <c r="N34" i="82" l="1"/>
  <c r="T34" i="82"/>
  <c r="N23" i="80"/>
  <c r="T23" i="80"/>
  <c r="G12" i="75"/>
  <c r="BZ32" i="82"/>
  <c r="AW32" i="82"/>
  <c r="S32" i="82"/>
  <c r="O32" i="82"/>
  <c r="Q32" i="82"/>
  <c r="BJ32" i="82"/>
  <c r="L34" i="82"/>
  <c r="M34" i="82" s="1"/>
  <c r="M33" i="82"/>
  <c r="J34" i="82"/>
  <c r="P33" i="82"/>
  <c r="W33" i="82"/>
  <c r="AT33" i="82"/>
  <c r="AU33" i="82" s="1"/>
  <c r="BK33" i="82"/>
  <c r="AV33" i="82"/>
  <c r="BM33" i="82"/>
  <c r="BN33" i="82" s="1"/>
  <c r="X32" i="82"/>
  <c r="AQ28" i="80"/>
  <c r="BH28" i="80"/>
  <c r="DB37" i="80"/>
  <c r="J23" i="80"/>
  <c r="P22" i="80"/>
  <c r="BM22" i="80"/>
  <c r="BN22" i="80" s="1"/>
  <c r="AV22" i="80"/>
  <c r="W22" i="80"/>
  <c r="AT22" i="80"/>
  <c r="AU22" i="80" s="1"/>
  <c r="BZ22" i="80" s="1"/>
  <c r="BK22" i="80"/>
  <c r="G11" i="75"/>
  <c r="F32" i="63"/>
  <c r="F30" i="63"/>
  <c r="F32" i="60"/>
  <c r="F30" i="60"/>
  <c r="F32" i="39"/>
  <c r="F30" i="39"/>
  <c r="F32" i="57"/>
  <c r="F30" i="57"/>
  <c r="F32" i="34"/>
  <c r="F30" i="34"/>
  <c r="G20" i="76"/>
  <c r="N24" i="80" l="1"/>
  <c r="T24" i="80"/>
  <c r="M14" i="82"/>
  <c r="M15" i="82"/>
  <c r="M16" i="82"/>
  <c r="M17" i="82"/>
  <c r="M18" i="82"/>
  <c r="M19" i="82"/>
  <c r="M20" i="82"/>
  <c r="M21" i="82"/>
  <c r="M22" i="82"/>
  <c r="M23" i="82"/>
  <c r="M24" i="82"/>
  <c r="M25" i="82"/>
  <c r="M26" i="82"/>
  <c r="M27" i="82"/>
  <c r="M28" i="82"/>
  <c r="M29" i="82"/>
  <c r="M30" i="82"/>
  <c r="M31" i="82"/>
  <c r="AW33" i="82"/>
  <c r="X33" i="82"/>
  <c r="AA33" i="82" s="1"/>
  <c r="E15" i="76"/>
  <c r="M26" i="80"/>
  <c r="M15" i="80"/>
  <c r="M20" i="80"/>
  <c r="M18" i="80"/>
  <c r="M28" i="80"/>
  <c r="M22" i="80"/>
  <c r="Q22" i="80" s="1"/>
  <c r="M16" i="80"/>
  <c r="M27" i="80"/>
  <c r="M19" i="80"/>
  <c r="M14" i="80"/>
  <c r="M17" i="80"/>
  <c r="M21" i="80"/>
  <c r="M23" i="80"/>
  <c r="M25" i="80"/>
  <c r="M24" i="80"/>
  <c r="G13" i="75"/>
  <c r="G14" i="75" s="1"/>
  <c r="G15" i="76"/>
  <c r="AA32" i="82"/>
  <c r="U32" i="82"/>
  <c r="BZ33" i="82"/>
  <c r="BL32" i="82"/>
  <c r="Z14" i="82"/>
  <c r="BI14" i="82"/>
  <c r="Q33" i="82"/>
  <c r="BJ33" i="82"/>
  <c r="S33" i="82"/>
  <c r="O33" i="82"/>
  <c r="R32" i="82"/>
  <c r="AV34" i="82"/>
  <c r="AW34" i="82" s="1"/>
  <c r="AT34" i="82"/>
  <c r="AU34" i="82" s="1"/>
  <c r="W34" i="82"/>
  <c r="X34" i="82" s="1"/>
  <c r="O34" i="82"/>
  <c r="P34" i="82"/>
  <c r="BM34" i="82"/>
  <c r="BN34" i="82" s="1"/>
  <c r="BK34" i="82"/>
  <c r="S34" i="82"/>
  <c r="Q34" i="82"/>
  <c r="BJ34" i="82"/>
  <c r="AQ29" i="80"/>
  <c r="DB40" i="80"/>
  <c r="J24" i="80"/>
  <c r="AV23" i="80"/>
  <c r="BK23" i="80"/>
  <c r="W23" i="80"/>
  <c r="AT23" i="80"/>
  <c r="AU23" i="80" s="1"/>
  <c r="BZ23" i="80" s="1"/>
  <c r="BM23" i="80"/>
  <c r="BN23" i="80" s="1"/>
  <c r="P23" i="80"/>
  <c r="BH29" i="80"/>
  <c r="F25" i="39"/>
  <c r="C22" i="76"/>
  <c r="F30" i="52" s="1"/>
  <c r="F25" i="34"/>
  <c r="F25" i="57"/>
  <c r="F25" i="63"/>
  <c r="F12" i="60"/>
  <c r="F34" i="60" s="1"/>
  <c r="F12" i="34"/>
  <c r="F34" i="34" s="1"/>
  <c r="F12" i="39"/>
  <c r="F34" i="39" s="1"/>
  <c r="F12" i="63"/>
  <c r="F34" i="63" s="1"/>
  <c r="F12" i="57"/>
  <c r="F34" i="57" s="1"/>
  <c r="F25" i="60"/>
  <c r="T25" i="80" l="1"/>
  <c r="N25" i="80"/>
  <c r="O23" i="80"/>
  <c r="BJ23" i="80"/>
  <c r="BL23" i="80" s="1"/>
  <c r="BP23" i="80" s="1"/>
  <c r="BT23" i="80" s="1"/>
  <c r="S23" i="80"/>
  <c r="U23" i="80" s="1"/>
  <c r="BJ28" i="80"/>
  <c r="S28" i="80"/>
  <c r="X31" i="82"/>
  <c r="AA31" i="82" s="1"/>
  <c r="Q31" i="82"/>
  <c r="BJ31" i="82"/>
  <c r="BL31" i="82" s="1"/>
  <c r="BP31" i="82" s="1"/>
  <c r="BT31" i="82" s="1"/>
  <c r="S31" i="82"/>
  <c r="U31" i="82" s="1"/>
  <c r="AW31" i="82"/>
  <c r="O31" i="82"/>
  <c r="BJ23" i="82"/>
  <c r="BL23" i="82" s="1"/>
  <c r="BP23" i="82" s="1"/>
  <c r="BT23" i="82" s="1"/>
  <c r="Q23" i="82"/>
  <c r="AW23" i="82"/>
  <c r="X23" i="82"/>
  <c r="AA23" i="82" s="1"/>
  <c r="S23" i="82"/>
  <c r="U23" i="82" s="1"/>
  <c r="O23" i="82"/>
  <c r="R23" i="82" s="1"/>
  <c r="Q19" i="82"/>
  <c r="X19" i="82"/>
  <c r="AA19" i="82" s="1"/>
  <c r="S19" i="82"/>
  <c r="U19" i="82" s="1"/>
  <c r="AW19" i="82"/>
  <c r="BJ19" i="82"/>
  <c r="BL19" i="82" s="1"/>
  <c r="BP19" i="82" s="1"/>
  <c r="BT19" i="82" s="1"/>
  <c r="O19" i="82"/>
  <c r="AW23" i="80"/>
  <c r="S21" i="80"/>
  <c r="U21" i="80" s="1"/>
  <c r="BJ21" i="80"/>
  <c r="BL21" i="80" s="1"/>
  <c r="BP21" i="80" s="1"/>
  <c r="BT21" i="80" s="1"/>
  <c r="AW21" i="80"/>
  <c r="O21" i="80"/>
  <c r="Q21" i="80"/>
  <c r="X21" i="80"/>
  <c r="AA21" i="80" s="1"/>
  <c r="BJ18" i="80"/>
  <c r="BL18" i="80" s="1"/>
  <c r="BP18" i="80" s="1"/>
  <c r="BT18" i="80" s="1"/>
  <c r="S18" i="80"/>
  <c r="U18" i="80" s="1"/>
  <c r="AW18" i="80"/>
  <c r="X18" i="80"/>
  <c r="AA18" i="80" s="1"/>
  <c r="O18" i="80"/>
  <c r="Q18" i="80"/>
  <c r="AW30" i="82"/>
  <c r="S30" i="82"/>
  <c r="U30" i="82" s="1"/>
  <c r="Q30" i="82"/>
  <c r="O30" i="82"/>
  <c r="R30" i="82" s="1"/>
  <c r="BJ30" i="82"/>
  <c r="BL30" i="82" s="1"/>
  <c r="BP30" i="82" s="1"/>
  <c r="BT30" i="82" s="1"/>
  <c r="X30" i="82"/>
  <c r="AA30" i="82" s="1"/>
  <c r="X26" i="82"/>
  <c r="AA26" i="82" s="1"/>
  <c r="BJ26" i="82"/>
  <c r="BL26" i="82" s="1"/>
  <c r="BP26" i="82" s="1"/>
  <c r="BT26" i="82" s="1"/>
  <c r="Q26" i="82"/>
  <c r="AW26" i="82"/>
  <c r="S26" i="82"/>
  <c r="U26" i="82" s="1"/>
  <c r="O26" i="82"/>
  <c r="BJ22" i="82"/>
  <c r="BL22" i="82" s="1"/>
  <c r="BP22" i="82" s="1"/>
  <c r="BT22" i="82" s="1"/>
  <c r="X22" i="82"/>
  <c r="AA22" i="82" s="1"/>
  <c r="Q22" i="82"/>
  <c r="AW22" i="82"/>
  <c r="S22" i="82"/>
  <c r="U22" i="82" s="1"/>
  <c r="O22" i="82"/>
  <c r="S18" i="82"/>
  <c r="U18" i="82" s="1"/>
  <c r="BJ18" i="82"/>
  <c r="BL18" i="82" s="1"/>
  <c r="BP18" i="82" s="1"/>
  <c r="BT18" i="82" s="1"/>
  <c r="Q18" i="82"/>
  <c r="AW18" i="82"/>
  <c r="X18" i="82"/>
  <c r="AA18" i="82" s="1"/>
  <c r="O18" i="82"/>
  <c r="BJ14" i="82"/>
  <c r="BL14" i="82" s="1"/>
  <c r="BP14" i="82" s="1"/>
  <c r="BT14" i="82" s="1"/>
  <c r="S14" i="82"/>
  <c r="U14" i="82" s="1"/>
  <c r="Q14" i="82"/>
  <c r="X14" i="82"/>
  <c r="AW14" i="82"/>
  <c r="O14" i="82"/>
  <c r="Q23" i="80"/>
  <c r="M36" i="82"/>
  <c r="S24" i="80"/>
  <c r="BJ24" i="80"/>
  <c r="S17" i="80"/>
  <c r="U17" i="80" s="1"/>
  <c r="BJ17" i="80"/>
  <c r="BL17" i="80" s="1"/>
  <c r="BP17" i="80" s="1"/>
  <c r="BT17" i="80" s="1"/>
  <c r="Q17" i="80"/>
  <c r="X17" i="80"/>
  <c r="AA17" i="80" s="1"/>
  <c r="AW17" i="80"/>
  <c r="O17" i="80"/>
  <c r="X16" i="80"/>
  <c r="AA16" i="80" s="1"/>
  <c r="BJ16" i="80"/>
  <c r="BL16" i="80" s="1"/>
  <c r="BP16" i="80" s="1"/>
  <c r="BT16" i="80" s="1"/>
  <c r="S16" i="80"/>
  <c r="U16" i="80" s="1"/>
  <c r="Q16" i="80"/>
  <c r="AW16" i="80"/>
  <c r="O16" i="80"/>
  <c r="S20" i="80"/>
  <c r="U20" i="80" s="1"/>
  <c r="BJ20" i="80"/>
  <c r="BL20" i="80" s="1"/>
  <c r="BP20" i="80" s="1"/>
  <c r="BT20" i="80" s="1"/>
  <c r="X20" i="80"/>
  <c r="AA20" i="80" s="1"/>
  <c r="AW20" i="80"/>
  <c r="Q20" i="80"/>
  <c r="O20" i="80"/>
  <c r="AW22" i="80"/>
  <c r="BJ29" i="82"/>
  <c r="BL29" i="82" s="1"/>
  <c r="BP29" i="82" s="1"/>
  <c r="BT29" i="82" s="1"/>
  <c r="AW29" i="82"/>
  <c r="S29" i="82"/>
  <c r="U29" i="82" s="1"/>
  <c r="Q29" i="82"/>
  <c r="X29" i="82"/>
  <c r="AA29" i="82" s="1"/>
  <c r="O29" i="82"/>
  <c r="AW25" i="82"/>
  <c r="X25" i="82"/>
  <c r="AA25" i="82" s="1"/>
  <c r="S25" i="82"/>
  <c r="U25" i="82" s="1"/>
  <c r="BJ25" i="82"/>
  <c r="BL25" i="82" s="1"/>
  <c r="BP25" i="82" s="1"/>
  <c r="BT25" i="82" s="1"/>
  <c r="Q25" i="82"/>
  <c r="O25" i="82"/>
  <c r="S21" i="82"/>
  <c r="U21" i="82" s="1"/>
  <c r="X21" i="82"/>
  <c r="AA21" i="82" s="1"/>
  <c r="BJ21" i="82"/>
  <c r="BL21" i="82" s="1"/>
  <c r="BP21" i="82" s="1"/>
  <c r="BT21" i="82" s="1"/>
  <c r="AW21" i="82"/>
  <c r="Q21" i="82"/>
  <c r="O21" i="82"/>
  <c r="R21" i="82" s="1"/>
  <c r="Q17" i="82"/>
  <c r="X17" i="82"/>
  <c r="AA17" i="82" s="1"/>
  <c r="BJ17" i="82"/>
  <c r="BL17" i="82" s="1"/>
  <c r="BP17" i="82" s="1"/>
  <c r="BT17" i="82" s="1"/>
  <c r="AW17" i="82"/>
  <c r="S17" i="82"/>
  <c r="U17" i="82" s="1"/>
  <c r="O17" i="82"/>
  <c r="BJ19" i="80"/>
  <c r="BL19" i="80" s="1"/>
  <c r="BP19" i="80" s="1"/>
  <c r="BT19" i="80" s="1"/>
  <c r="S19" i="80"/>
  <c r="U19" i="80" s="1"/>
  <c r="X19" i="80"/>
  <c r="AA19" i="80" s="1"/>
  <c r="AW19" i="80"/>
  <c r="Q19" i="80"/>
  <c r="O19" i="80"/>
  <c r="S26" i="80"/>
  <c r="BJ26" i="80"/>
  <c r="X27" i="82"/>
  <c r="AA27" i="82" s="1"/>
  <c r="Q27" i="82"/>
  <c r="BJ27" i="82"/>
  <c r="BL27" i="82" s="1"/>
  <c r="BP27" i="82" s="1"/>
  <c r="BT27" i="82" s="1"/>
  <c r="AW27" i="82"/>
  <c r="S27" i="82"/>
  <c r="U27" i="82" s="1"/>
  <c r="O27" i="82"/>
  <c r="R27" i="82" s="1"/>
  <c r="X15" i="82"/>
  <c r="AA15" i="82" s="1"/>
  <c r="AW15" i="82"/>
  <c r="BJ15" i="82"/>
  <c r="BL15" i="82" s="1"/>
  <c r="BP15" i="82" s="1"/>
  <c r="BT15" i="82" s="1"/>
  <c r="S15" i="82"/>
  <c r="U15" i="82" s="1"/>
  <c r="Q15" i="82"/>
  <c r="O15" i="82"/>
  <c r="X23" i="80"/>
  <c r="AA23" i="80" s="1"/>
  <c r="S27" i="80"/>
  <c r="BJ27" i="80"/>
  <c r="S25" i="80"/>
  <c r="BJ25" i="80"/>
  <c r="AW14" i="80"/>
  <c r="X14" i="80"/>
  <c r="BJ14" i="80"/>
  <c r="S14" i="80"/>
  <c r="U14" i="80" s="1"/>
  <c r="Q14" i="80"/>
  <c r="M36" i="80"/>
  <c r="O14" i="80"/>
  <c r="BJ22" i="80"/>
  <c r="BL22" i="80" s="1"/>
  <c r="BP22" i="80" s="1"/>
  <c r="BT22" i="80" s="1"/>
  <c r="S22" i="80"/>
  <c r="U22" i="80" s="1"/>
  <c r="Q15" i="80"/>
  <c r="S15" i="80"/>
  <c r="U15" i="80" s="1"/>
  <c r="AW15" i="80"/>
  <c r="BJ15" i="80"/>
  <c r="BL15" i="80" s="1"/>
  <c r="BP15" i="80" s="1"/>
  <c r="BT15" i="80" s="1"/>
  <c r="X15" i="80"/>
  <c r="AA15" i="80" s="1"/>
  <c r="O15" i="80"/>
  <c r="X22" i="80"/>
  <c r="AA22" i="80" s="1"/>
  <c r="Q28" i="82"/>
  <c r="AW28" i="82"/>
  <c r="BJ28" i="82"/>
  <c r="BL28" i="82" s="1"/>
  <c r="BP28" i="82" s="1"/>
  <c r="BT28" i="82" s="1"/>
  <c r="S28" i="82"/>
  <c r="U28" i="82" s="1"/>
  <c r="X28" i="82"/>
  <c r="AA28" i="82" s="1"/>
  <c r="O28" i="82"/>
  <c r="Q24" i="82"/>
  <c r="AW24" i="82"/>
  <c r="X24" i="82"/>
  <c r="AA24" i="82" s="1"/>
  <c r="BJ24" i="82"/>
  <c r="BL24" i="82" s="1"/>
  <c r="BP24" i="82" s="1"/>
  <c r="BT24" i="82" s="1"/>
  <c r="S24" i="82"/>
  <c r="U24" i="82" s="1"/>
  <c r="O24" i="82"/>
  <c r="Q20" i="82"/>
  <c r="X20" i="82"/>
  <c r="AA20" i="82" s="1"/>
  <c r="AW20" i="82"/>
  <c r="S20" i="82"/>
  <c r="U20" i="82" s="1"/>
  <c r="BJ20" i="82"/>
  <c r="BL20" i="82" s="1"/>
  <c r="BP20" i="82" s="1"/>
  <c r="BT20" i="82" s="1"/>
  <c r="O20" i="82"/>
  <c r="AW16" i="82"/>
  <c r="BJ16" i="82"/>
  <c r="BL16" i="82" s="1"/>
  <c r="BP16" i="82" s="1"/>
  <c r="BT16" i="82" s="1"/>
  <c r="X16" i="82"/>
  <c r="AA16" i="82" s="1"/>
  <c r="Q16" i="82"/>
  <c r="S16" i="82"/>
  <c r="U16" i="82" s="1"/>
  <c r="O16" i="82"/>
  <c r="O22" i="80"/>
  <c r="R22" i="80" s="1"/>
  <c r="BX22" i="80" s="1"/>
  <c r="V32" i="82"/>
  <c r="AB32" i="82" s="1"/>
  <c r="BY32" i="82"/>
  <c r="AA34" i="82"/>
  <c r="BZ34" i="82"/>
  <c r="BP32" i="82"/>
  <c r="BT32" i="82" s="1"/>
  <c r="AG32" i="82"/>
  <c r="AS32" i="82" s="1"/>
  <c r="U33" i="82"/>
  <c r="AG33" i="82" s="1"/>
  <c r="BL33" i="82"/>
  <c r="R33" i="82"/>
  <c r="AK14" i="82"/>
  <c r="BC14" i="82"/>
  <c r="R34" i="82"/>
  <c r="U34" i="82"/>
  <c r="BL34" i="82"/>
  <c r="BX32" i="82"/>
  <c r="AF32" i="82"/>
  <c r="AR32" i="82" s="1"/>
  <c r="BH30" i="80"/>
  <c r="DB41" i="80"/>
  <c r="AV24" i="80"/>
  <c r="AW24" i="80" s="1"/>
  <c r="J25" i="80"/>
  <c r="P24" i="80"/>
  <c r="Q24" i="80" s="1"/>
  <c r="BM24" i="80"/>
  <c r="BN24" i="80" s="1"/>
  <c r="BK24" i="80"/>
  <c r="AT24" i="80"/>
  <c r="AU24" i="80" s="1"/>
  <c r="BZ24" i="80" s="1"/>
  <c r="W24" i="80"/>
  <c r="X24" i="80" s="1"/>
  <c r="AA24" i="80" s="1"/>
  <c r="O24" i="80"/>
  <c r="AQ30" i="80"/>
  <c r="G22" i="76"/>
  <c r="I14" i="76" s="1"/>
  <c r="F27" i="60"/>
  <c r="F21" i="60"/>
  <c r="F20" i="60"/>
  <c r="F18" i="60"/>
  <c r="F17" i="60"/>
  <c r="H38" i="60"/>
  <c r="H36" i="60"/>
  <c r="T26" i="80" l="1"/>
  <c r="N26" i="80"/>
  <c r="R19" i="80"/>
  <c r="R16" i="82"/>
  <c r="BX16" i="82" s="1"/>
  <c r="R24" i="82"/>
  <c r="BX24" i="82" s="1"/>
  <c r="I17" i="76"/>
  <c r="R23" i="80"/>
  <c r="AF23" i="80" s="1"/>
  <c r="AR23" i="80" s="1"/>
  <c r="AG23" i="80"/>
  <c r="AS23" i="80" s="1"/>
  <c r="BY23" i="80"/>
  <c r="R31" i="82"/>
  <c r="V31" i="82" s="1"/>
  <c r="AB31" i="82" s="1"/>
  <c r="BL24" i="80"/>
  <c r="BP24" i="80" s="1"/>
  <c r="U24" i="80"/>
  <c r="BY24" i="80" s="1"/>
  <c r="V22" i="80"/>
  <c r="AB22" i="80" s="1"/>
  <c r="R20" i="80"/>
  <c r="AF20" i="80" s="1"/>
  <c r="AR20" i="80" s="1"/>
  <c r="R17" i="80"/>
  <c r="V17" i="80" s="1"/>
  <c r="AB17" i="80" s="1"/>
  <c r="R29" i="82"/>
  <c r="V29" i="82" s="1"/>
  <c r="AB29" i="82" s="1"/>
  <c r="I11" i="76"/>
  <c r="R15" i="80"/>
  <c r="BX15" i="80" s="1"/>
  <c r="R19" i="82"/>
  <c r="V19" i="82" s="1"/>
  <c r="AB19" i="82" s="1"/>
  <c r="AG29" i="82"/>
  <c r="BY29" i="82"/>
  <c r="AG22" i="82"/>
  <c r="BY22" i="82"/>
  <c r="BX23" i="82"/>
  <c r="AF23" i="82"/>
  <c r="AR23" i="82" s="1"/>
  <c r="AF16" i="82"/>
  <c r="AR16" i="82" s="1"/>
  <c r="AG20" i="82"/>
  <c r="BY20" i="82"/>
  <c r="AF27" i="82"/>
  <c r="AR27" i="82" s="1"/>
  <c r="BX27" i="82"/>
  <c r="BY19" i="80"/>
  <c r="AG19" i="80"/>
  <c r="AF21" i="82"/>
  <c r="AR21" i="82" s="1"/>
  <c r="BX21" i="82"/>
  <c r="BY20" i="80"/>
  <c r="AG20" i="80"/>
  <c r="AG17" i="80"/>
  <c r="BY17" i="80"/>
  <c r="R18" i="82"/>
  <c r="V18" i="82" s="1"/>
  <c r="AB18" i="82" s="1"/>
  <c r="BY18" i="80"/>
  <c r="AG18" i="80"/>
  <c r="BY19" i="82"/>
  <c r="AG19" i="82"/>
  <c r="BY23" i="82"/>
  <c r="AG23" i="82"/>
  <c r="V23" i="82"/>
  <c r="AB23" i="82" s="1"/>
  <c r="AF22" i="80"/>
  <c r="AR22" i="80" s="1"/>
  <c r="BY16" i="82"/>
  <c r="V16" i="82"/>
  <c r="AB16" i="82" s="1"/>
  <c r="AG16" i="82"/>
  <c r="AG24" i="82"/>
  <c r="V24" i="82"/>
  <c r="AB24" i="82" s="1"/>
  <c r="BY24" i="82"/>
  <c r="AG15" i="80"/>
  <c r="BY15" i="80"/>
  <c r="R14" i="80"/>
  <c r="V14" i="80" s="1"/>
  <c r="BJ36" i="80"/>
  <c r="BL14" i="80"/>
  <c r="BP14" i="80" s="1"/>
  <c r="BT14" i="80" s="1"/>
  <c r="AG27" i="82"/>
  <c r="BY27" i="82"/>
  <c r="V27" i="82"/>
  <c r="AB27" i="82" s="1"/>
  <c r="AG21" i="82"/>
  <c r="V21" i="82"/>
  <c r="AB21" i="82" s="1"/>
  <c r="BY21" i="82"/>
  <c r="BY25" i="82"/>
  <c r="AG25" i="82"/>
  <c r="R16" i="80"/>
  <c r="BY18" i="82"/>
  <c r="AG18" i="82"/>
  <c r="BY26" i="82"/>
  <c r="AG26" i="82"/>
  <c r="R18" i="80"/>
  <c r="AG22" i="80"/>
  <c r="AS22" i="80" s="1"/>
  <c r="BY22" i="80"/>
  <c r="CA22" i="80" s="1"/>
  <c r="CG22" i="80" s="1"/>
  <c r="BY17" i="82"/>
  <c r="AG17" i="82"/>
  <c r="BY21" i="80"/>
  <c r="AG21" i="80"/>
  <c r="BY31" i="82"/>
  <c r="AG31" i="82"/>
  <c r="BY28" i="82"/>
  <c r="AG28" i="82"/>
  <c r="BY14" i="80"/>
  <c r="AG14" i="80"/>
  <c r="AG15" i="82"/>
  <c r="BY15" i="82"/>
  <c r="V19" i="80"/>
  <c r="AB19" i="80" s="1"/>
  <c r="AF19" i="80"/>
  <c r="AR19" i="80" s="1"/>
  <c r="BX19" i="80"/>
  <c r="AG16" i="80"/>
  <c r="BY16" i="80"/>
  <c r="R26" i="82"/>
  <c r="BX30" i="82"/>
  <c r="AF30" i="82"/>
  <c r="AR30" i="82" s="1"/>
  <c r="R21" i="80"/>
  <c r="V21" i="80" s="1"/>
  <c r="AB21" i="80" s="1"/>
  <c r="BJ36" i="82"/>
  <c r="R20" i="82"/>
  <c r="R28" i="82"/>
  <c r="V28" i="82" s="1"/>
  <c r="AB28" i="82" s="1"/>
  <c r="R15" i="82"/>
  <c r="V15" i="82" s="1"/>
  <c r="AB15" i="82" s="1"/>
  <c r="R17" i="82"/>
  <c r="V17" i="82" s="1"/>
  <c r="AB17" i="82" s="1"/>
  <c r="R25" i="82"/>
  <c r="R14" i="82"/>
  <c r="V14" i="82" s="1"/>
  <c r="BY14" i="82"/>
  <c r="AG14" i="82"/>
  <c r="R22" i="82"/>
  <c r="V30" i="82"/>
  <c r="AB30" i="82" s="1"/>
  <c r="AG30" i="82"/>
  <c r="BY30" i="82"/>
  <c r="I12" i="76"/>
  <c r="BY33" i="82"/>
  <c r="CA32" i="82"/>
  <c r="CG32" i="82" s="1"/>
  <c r="CD14" i="82"/>
  <c r="BP33" i="82"/>
  <c r="BT33" i="82" s="1"/>
  <c r="BP34" i="82"/>
  <c r="BT34" i="82" s="1"/>
  <c r="V33" i="82"/>
  <c r="AB33" i="82" s="1"/>
  <c r="BX33" i="82"/>
  <c r="AZ32" i="82"/>
  <c r="BE32" i="82" s="1"/>
  <c r="AF33" i="82"/>
  <c r="AR33" i="82" s="1"/>
  <c r="I18" i="76"/>
  <c r="I19" i="76"/>
  <c r="BX34" i="82"/>
  <c r="AF34" i="82"/>
  <c r="AR34" i="82" s="1"/>
  <c r="AH32" i="82"/>
  <c r="AN32" i="82" s="1"/>
  <c r="AG34" i="82"/>
  <c r="BY34" i="82"/>
  <c r="V34" i="82"/>
  <c r="AS33" i="82"/>
  <c r="AQ31" i="80"/>
  <c r="DB42" i="80"/>
  <c r="J26" i="80"/>
  <c r="AV25" i="80"/>
  <c r="AW25" i="80" s="1"/>
  <c r="AT25" i="80"/>
  <c r="AU25" i="80" s="1"/>
  <c r="BZ25" i="80" s="1"/>
  <c r="BK25" i="80"/>
  <c r="BL25" i="80" s="1"/>
  <c r="O25" i="80"/>
  <c r="P25" i="80"/>
  <c r="Q25" i="80" s="1"/>
  <c r="U25" i="80"/>
  <c r="W25" i="80"/>
  <c r="X25" i="80" s="1"/>
  <c r="AA25" i="80" s="1"/>
  <c r="BM25" i="80"/>
  <c r="BN25" i="80" s="1"/>
  <c r="R24" i="80"/>
  <c r="BH31" i="80"/>
  <c r="F12" i="52"/>
  <c r="N27" i="80" l="1"/>
  <c r="T27" i="80"/>
  <c r="AF24" i="82"/>
  <c r="AR24" i="82" s="1"/>
  <c r="BX23" i="80"/>
  <c r="CA23" i="80" s="1"/>
  <c r="CG23" i="80" s="1"/>
  <c r="V23" i="80"/>
  <c r="AB23" i="80" s="1"/>
  <c r="AG24" i="80"/>
  <c r="AS24" i="80" s="1"/>
  <c r="BX19" i="82"/>
  <c r="CA19" i="82" s="1"/>
  <c r="CG19" i="82" s="1"/>
  <c r="BX17" i="80"/>
  <c r="CA17" i="80" s="1"/>
  <c r="CG17" i="80" s="1"/>
  <c r="AF31" i="82"/>
  <c r="AR31" i="82" s="1"/>
  <c r="BX31" i="82"/>
  <c r="CA31" i="82" s="1"/>
  <c r="CG31" i="82" s="1"/>
  <c r="CA16" i="82"/>
  <c r="CG16" i="82" s="1"/>
  <c r="BX20" i="80"/>
  <c r="CA20" i="80" s="1"/>
  <c r="CG20" i="80" s="1"/>
  <c r="CA19" i="80"/>
  <c r="CG19" i="80" s="1"/>
  <c r="V15" i="80"/>
  <c r="AB15" i="80" s="1"/>
  <c r="CA24" i="82"/>
  <c r="CG24" i="82" s="1"/>
  <c r="V20" i="80"/>
  <c r="AB20" i="80" s="1"/>
  <c r="AF15" i="80"/>
  <c r="AR15" i="80" s="1"/>
  <c r="V24" i="80"/>
  <c r="AB24" i="80" s="1"/>
  <c r="CA15" i="80"/>
  <c r="CG15" i="80" s="1"/>
  <c r="AF17" i="80"/>
  <c r="AR17" i="80" s="1"/>
  <c r="CA27" i="82"/>
  <c r="CG27" i="82" s="1"/>
  <c r="AF29" i="82"/>
  <c r="AR29" i="82" s="1"/>
  <c r="AH22" i="80"/>
  <c r="AN22" i="80" s="1"/>
  <c r="CA33" i="82"/>
  <c r="CG33" i="82" s="1"/>
  <c r="BX29" i="82"/>
  <c r="CA29" i="82" s="1"/>
  <c r="CG29" i="82" s="1"/>
  <c r="I20" i="76"/>
  <c r="AF19" i="82"/>
  <c r="AR19" i="82" s="1"/>
  <c r="AZ22" i="80"/>
  <c r="BE22" i="80" s="1"/>
  <c r="I15" i="76"/>
  <c r="BX22" i="82"/>
  <c r="CA22" i="82" s="1"/>
  <c r="CG22" i="82" s="1"/>
  <c r="AF22" i="82"/>
  <c r="AR22" i="82" s="1"/>
  <c r="AF16" i="80"/>
  <c r="AR16" i="80" s="1"/>
  <c r="BX16" i="80"/>
  <c r="CA16" i="80" s="1"/>
  <c r="CG16" i="80" s="1"/>
  <c r="BX25" i="82"/>
  <c r="CA25" i="82" s="1"/>
  <c r="CG25" i="82" s="1"/>
  <c r="AF25" i="82"/>
  <c r="AR25" i="82" s="1"/>
  <c r="CA30" i="82"/>
  <c r="CG30" i="82" s="1"/>
  <c r="AS16" i="80"/>
  <c r="AS15" i="82"/>
  <c r="V18" i="80"/>
  <c r="AB18" i="80" s="1"/>
  <c r="BX18" i="80"/>
  <c r="CA18" i="80" s="1"/>
  <c r="CG18" i="80" s="1"/>
  <c r="AF18" i="80"/>
  <c r="AR18" i="80" s="1"/>
  <c r="AS19" i="82"/>
  <c r="AS20" i="80"/>
  <c r="AZ20" i="80" s="1"/>
  <c r="BE20" i="80" s="1"/>
  <c r="AH20" i="80"/>
  <c r="AN20" i="80" s="1"/>
  <c r="AS19" i="80"/>
  <c r="AZ19" i="80" s="1"/>
  <c r="BE19" i="80" s="1"/>
  <c r="AH19" i="80"/>
  <c r="AN19" i="80" s="1"/>
  <c r="V22" i="82"/>
  <c r="AB22" i="82" s="1"/>
  <c r="AS30" i="82"/>
  <c r="AZ30" i="82" s="1"/>
  <c r="BE30" i="82" s="1"/>
  <c r="AH30" i="82"/>
  <c r="AN30" i="82" s="1"/>
  <c r="BX17" i="82"/>
  <c r="CA17" i="82" s="1"/>
  <c r="CG17" i="82" s="1"/>
  <c r="AF17" i="82"/>
  <c r="AR17" i="82" s="1"/>
  <c r="BX26" i="82"/>
  <c r="CA26" i="82" s="1"/>
  <c r="CG26" i="82" s="1"/>
  <c r="AF26" i="82"/>
  <c r="AR26" i="82" s="1"/>
  <c r="AS28" i="82"/>
  <c r="AS21" i="80"/>
  <c r="V26" i="82"/>
  <c r="AB26" i="82" s="1"/>
  <c r="AS18" i="82"/>
  <c r="AS25" i="82"/>
  <c r="AS21" i="82"/>
  <c r="AZ21" i="82" s="1"/>
  <c r="BE21" i="82" s="1"/>
  <c r="AH21" i="82"/>
  <c r="AN21" i="82" s="1"/>
  <c r="AS23" i="82"/>
  <c r="AZ23" i="82" s="1"/>
  <c r="BE23" i="82" s="1"/>
  <c r="AH23" i="82"/>
  <c r="AN23" i="82" s="1"/>
  <c r="AS20" i="82"/>
  <c r="AS22" i="82"/>
  <c r="BX14" i="82"/>
  <c r="CA14" i="82" s="1"/>
  <c r="AF14" i="82"/>
  <c r="AR14" i="82" s="1"/>
  <c r="AF28" i="82"/>
  <c r="AR28" i="82" s="1"/>
  <c r="BX28" i="82"/>
  <c r="CA28" i="82" s="1"/>
  <c r="CG28" i="82" s="1"/>
  <c r="AS17" i="82"/>
  <c r="BX14" i="80"/>
  <c r="CA14" i="80" s="1"/>
  <c r="AF14" i="80"/>
  <c r="AR14" i="80" s="1"/>
  <c r="AS24" i="82"/>
  <c r="AH24" i="82"/>
  <c r="AN24" i="82" s="1"/>
  <c r="AS14" i="82"/>
  <c r="AF20" i="82"/>
  <c r="AR20" i="82" s="1"/>
  <c r="BX20" i="82"/>
  <c r="CA20" i="82" s="1"/>
  <c r="CG20" i="82" s="1"/>
  <c r="V25" i="82"/>
  <c r="AB25" i="82" s="1"/>
  <c r="AS27" i="82"/>
  <c r="AZ27" i="82" s="1"/>
  <c r="BE27" i="82" s="1"/>
  <c r="AH27" i="82"/>
  <c r="AN27" i="82" s="1"/>
  <c r="AS16" i="82"/>
  <c r="AH16" i="82"/>
  <c r="AN16" i="82" s="1"/>
  <c r="BX18" i="82"/>
  <c r="CA18" i="82" s="1"/>
  <c r="CG18" i="82" s="1"/>
  <c r="AF18" i="82"/>
  <c r="AR18" i="82" s="1"/>
  <c r="AZ16" i="82"/>
  <c r="BE16" i="82" s="1"/>
  <c r="AS29" i="82"/>
  <c r="BX15" i="82"/>
  <c r="CA15" i="82" s="1"/>
  <c r="CG15" i="82" s="1"/>
  <c r="AF15" i="82"/>
  <c r="AR15" i="82" s="1"/>
  <c r="AF21" i="80"/>
  <c r="AR21" i="80" s="1"/>
  <c r="BX21" i="80"/>
  <c r="CA21" i="80" s="1"/>
  <c r="CG21" i="80" s="1"/>
  <c r="V16" i="80"/>
  <c r="AB16" i="80" s="1"/>
  <c r="AS14" i="80"/>
  <c r="AS31" i="82"/>
  <c r="AS26" i="82"/>
  <c r="AS15" i="80"/>
  <c r="AS18" i="80"/>
  <c r="AS17" i="80"/>
  <c r="CA21" i="82"/>
  <c r="CG21" i="82" s="1"/>
  <c r="V20" i="82"/>
  <c r="AB20" i="82" s="1"/>
  <c r="CA23" i="82"/>
  <c r="CG23" i="82" s="1"/>
  <c r="AZ23" i="80"/>
  <c r="BE23" i="80" s="1"/>
  <c r="BP37" i="82"/>
  <c r="BJ40" i="82" s="1"/>
  <c r="G45" i="82" s="1"/>
  <c r="BP36" i="82"/>
  <c r="AH33" i="82"/>
  <c r="AN33" i="82" s="1"/>
  <c r="AZ33" i="82"/>
  <c r="BE33" i="82" s="1"/>
  <c r="BT36" i="82"/>
  <c r="BT37" i="82"/>
  <c r="BJ39" i="82" s="1"/>
  <c r="F45" i="82" s="1"/>
  <c r="CA34" i="82"/>
  <c r="AS34" i="82"/>
  <c r="AZ34" i="82" s="1"/>
  <c r="AH34" i="82"/>
  <c r="AB34" i="82"/>
  <c r="BH32" i="80"/>
  <c r="BY25" i="80"/>
  <c r="AG25" i="80"/>
  <c r="AQ32" i="80"/>
  <c r="BT24" i="80"/>
  <c r="AH23" i="80"/>
  <c r="R25" i="80"/>
  <c r="DB43" i="80"/>
  <c r="AV26" i="80"/>
  <c r="AW26" i="80" s="1"/>
  <c r="P26" i="80"/>
  <c r="Q26" i="80" s="1"/>
  <c r="J27" i="80"/>
  <c r="O26" i="80"/>
  <c r="AT26" i="80"/>
  <c r="AU26" i="80" s="1"/>
  <c r="BZ26" i="80" s="1"/>
  <c r="U26" i="80"/>
  <c r="W26" i="80"/>
  <c r="X26" i="80" s="1"/>
  <c r="AA26" i="80" s="1"/>
  <c r="BK26" i="80"/>
  <c r="BL26" i="80" s="1"/>
  <c r="BM26" i="80"/>
  <c r="BN26" i="80" s="1"/>
  <c r="BX24" i="80"/>
  <c r="CA24" i="80" s="1"/>
  <c r="CG24" i="80" s="1"/>
  <c r="AF24" i="80"/>
  <c r="AR24" i="80" s="1"/>
  <c r="BP25" i="80"/>
  <c r="BT25" i="80" s="1"/>
  <c r="C43" i="52"/>
  <c r="C41" i="52"/>
  <c r="C39" i="52"/>
  <c r="N28" i="80" l="1"/>
  <c r="T28" i="80"/>
  <c r="AZ24" i="82"/>
  <c r="BE24" i="82" s="1"/>
  <c r="AZ31" i="82"/>
  <c r="BE31" i="82" s="1"/>
  <c r="AH31" i="82"/>
  <c r="AN31" i="82" s="1"/>
  <c r="AZ15" i="82"/>
  <c r="BE15" i="82" s="1"/>
  <c r="AH29" i="82"/>
  <c r="AN29" i="82" s="1"/>
  <c r="AH25" i="82"/>
  <c r="AN25" i="82" s="1"/>
  <c r="AH17" i="80"/>
  <c r="AN17" i="80" s="1"/>
  <c r="AZ15" i="80"/>
  <c r="BE15" i="80" s="1"/>
  <c r="AH15" i="80"/>
  <c r="AN15" i="80" s="1"/>
  <c r="AZ17" i="80"/>
  <c r="BE17" i="80" s="1"/>
  <c r="AZ14" i="80"/>
  <c r="AH16" i="80"/>
  <c r="AN16" i="80" s="1"/>
  <c r="AH22" i="82"/>
  <c r="AN22" i="82" s="1"/>
  <c r="AH19" i="82"/>
  <c r="AN19" i="82" s="1"/>
  <c r="V37" i="82"/>
  <c r="AZ29" i="82"/>
  <c r="BE29" i="82" s="1"/>
  <c r="AH17" i="82"/>
  <c r="AN17" i="82" s="1"/>
  <c r="AZ19" i="82"/>
  <c r="BE19" i="82" s="1"/>
  <c r="AH14" i="82"/>
  <c r="AZ26" i="82"/>
  <c r="BE26" i="82" s="1"/>
  <c r="AZ18" i="80"/>
  <c r="BE18" i="80" s="1"/>
  <c r="I22" i="76"/>
  <c r="AZ14" i="82"/>
  <c r="AH15" i="82"/>
  <c r="AN15" i="82" s="1"/>
  <c r="V36" i="82"/>
  <c r="AZ21" i="80"/>
  <c r="BE21" i="80" s="1"/>
  <c r="AZ20" i="82"/>
  <c r="BE20" i="82" s="1"/>
  <c r="AH20" i="82"/>
  <c r="AN20" i="82" s="1"/>
  <c r="AH18" i="82"/>
  <c r="AN18" i="82" s="1"/>
  <c r="AH21" i="80"/>
  <c r="AN21" i="80" s="1"/>
  <c r="AZ16" i="80"/>
  <c r="BE16" i="80" s="1"/>
  <c r="AZ18" i="82"/>
  <c r="BE18" i="82" s="1"/>
  <c r="AH28" i="82"/>
  <c r="AN28" i="82" s="1"/>
  <c r="AZ22" i="82"/>
  <c r="BE22" i="82" s="1"/>
  <c r="AH18" i="80"/>
  <c r="AN18" i="80" s="1"/>
  <c r="AH26" i="82"/>
  <c r="AN26" i="82" s="1"/>
  <c r="AH14" i="80"/>
  <c r="AZ28" i="82"/>
  <c r="BE28" i="82" s="1"/>
  <c r="AZ17" i="82"/>
  <c r="BE17" i="82" s="1"/>
  <c r="AZ25" i="82"/>
  <c r="BE25" i="82" s="1"/>
  <c r="AH24" i="80"/>
  <c r="AN24" i="80" s="1"/>
  <c r="BE34" i="82"/>
  <c r="AN34" i="82"/>
  <c r="CG34" i="82"/>
  <c r="CA36" i="82"/>
  <c r="CA37" i="82"/>
  <c r="BP26" i="80"/>
  <c r="BT26" i="80" s="1"/>
  <c r="R26" i="80"/>
  <c r="AF26" i="80" s="1"/>
  <c r="AR26" i="80" s="1"/>
  <c r="AQ33" i="80"/>
  <c r="DB49" i="80"/>
  <c r="AV27" i="80"/>
  <c r="AW27" i="80" s="1"/>
  <c r="J28" i="80"/>
  <c r="BK27" i="80"/>
  <c r="BL27" i="80" s="1"/>
  <c r="U27" i="80"/>
  <c r="P27" i="80"/>
  <c r="Q27" i="80" s="1"/>
  <c r="W27" i="80"/>
  <c r="X27" i="80" s="1"/>
  <c r="AA27" i="80" s="1"/>
  <c r="BM27" i="80"/>
  <c r="BN27" i="80" s="1"/>
  <c r="O27" i="80"/>
  <c r="AT27" i="80"/>
  <c r="AU27" i="80" s="1"/>
  <c r="BZ27" i="80" s="1"/>
  <c r="AF25" i="80"/>
  <c r="AR25" i="80" s="1"/>
  <c r="BX25" i="80"/>
  <c r="CA25" i="80" s="1"/>
  <c r="CG25" i="80" s="1"/>
  <c r="V25" i="80"/>
  <c r="AB25" i="80" s="1"/>
  <c r="AG26" i="80"/>
  <c r="BY26" i="80"/>
  <c r="AN23" i="80"/>
  <c r="AS25" i="80"/>
  <c r="AZ24" i="80"/>
  <c r="BE24" i="80" s="1"/>
  <c r="BH33" i="80"/>
  <c r="C22" i="75"/>
  <c r="T29" i="80" l="1"/>
  <c r="N29" i="80"/>
  <c r="AZ37" i="82"/>
  <c r="AH36" i="82"/>
  <c r="AZ36" i="82"/>
  <c r="AH37" i="82"/>
  <c r="AH25" i="80"/>
  <c r="AN25" i="80" s="1"/>
  <c r="BX26" i="80"/>
  <c r="CA26" i="80" s="1"/>
  <c r="CG26" i="80" s="1"/>
  <c r="V26" i="80"/>
  <c r="AB26" i="80" s="1"/>
  <c r="BH34" i="80"/>
  <c r="R27" i="80"/>
  <c r="BY27" i="80"/>
  <c r="AG27" i="80"/>
  <c r="BP27" i="80"/>
  <c r="BT27" i="80" s="1"/>
  <c r="AS26" i="80"/>
  <c r="AZ26" i="80" s="1"/>
  <c r="BE26" i="80" s="1"/>
  <c r="AH26" i="80"/>
  <c r="AN26" i="80" s="1"/>
  <c r="AZ25" i="80"/>
  <c r="BE25" i="80" s="1"/>
  <c r="DB50" i="80"/>
  <c r="AV28" i="80"/>
  <c r="AW28" i="80" s="1"/>
  <c r="P28" i="80"/>
  <c r="Q28" i="80" s="1"/>
  <c r="J29" i="80"/>
  <c r="U28" i="80"/>
  <c r="BM28" i="80"/>
  <c r="BN28" i="80" s="1"/>
  <c r="BK28" i="80"/>
  <c r="BL28" i="80" s="1"/>
  <c r="W28" i="80"/>
  <c r="X28" i="80" s="1"/>
  <c r="AA28" i="80" s="1"/>
  <c r="O28" i="80"/>
  <c r="AT28" i="80"/>
  <c r="AU28" i="80" s="1"/>
  <c r="BZ28" i="80" s="1"/>
  <c r="AQ34" i="80"/>
  <c r="T30" i="80" l="1"/>
  <c r="N30" i="80"/>
  <c r="BP28" i="80"/>
  <c r="BT28" i="80" s="1"/>
  <c r="AS27" i="80"/>
  <c r="R28" i="80"/>
  <c r="AG28" i="80"/>
  <c r="BY28" i="80"/>
  <c r="AF27" i="80"/>
  <c r="AR27" i="80" s="1"/>
  <c r="BX27" i="80"/>
  <c r="CA27" i="80" s="1"/>
  <c r="CG27" i="80" s="1"/>
  <c r="DB51" i="80"/>
  <c r="J30" i="80"/>
  <c r="AV29" i="80"/>
  <c r="AW29" i="80" s="1"/>
  <c r="AT29" i="80"/>
  <c r="AU29" i="80" s="1"/>
  <c r="BZ29" i="80" s="1"/>
  <c r="W29" i="80"/>
  <c r="X29" i="80" s="1"/>
  <c r="AA29" i="80" s="1"/>
  <c r="O29" i="80"/>
  <c r="P29" i="80"/>
  <c r="Q29" i="80" s="1"/>
  <c r="U29" i="80"/>
  <c r="BK29" i="80"/>
  <c r="BL29" i="80" s="1"/>
  <c r="BM29" i="80"/>
  <c r="BN29" i="80" s="1"/>
  <c r="V27" i="80"/>
  <c r="AB27" i="80" s="1"/>
  <c r="AJ35" i="52"/>
  <c r="AK35" i="52"/>
  <c r="CC35" i="52"/>
  <c r="CD35" i="52"/>
  <c r="N31" i="80" l="1"/>
  <c r="T31" i="80"/>
  <c r="AZ27" i="80"/>
  <c r="BE27" i="80" s="1"/>
  <c r="R29" i="80"/>
  <c r="AF29" i="80" s="1"/>
  <c r="AR29" i="80" s="1"/>
  <c r="AV30" i="80"/>
  <c r="AW30" i="80" s="1"/>
  <c r="J31" i="80"/>
  <c r="AT30" i="80"/>
  <c r="AU30" i="80" s="1"/>
  <c r="BZ30" i="80" s="1"/>
  <c r="BK30" i="80"/>
  <c r="BL30" i="80" s="1"/>
  <c r="U30" i="80"/>
  <c r="O30" i="80"/>
  <c r="W30" i="80"/>
  <c r="X30" i="80" s="1"/>
  <c r="AA30" i="80" s="1"/>
  <c r="BM30" i="80"/>
  <c r="BN30" i="80" s="1"/>
  <c r="P30" i="80"/>
  <c r="Q30" i="80" s="1"/>
  <c r="BX28" i="80"/>
  <c r="CA28" i="80" s="1"/>
  <c r="CG28" i="80" s="1"/>
  <c r="AF28" i="80"/>
  <c r="AR28" i="80" s="1"/>
  <c r="BP29" i="80"/>
  <c r="BT29" i="80" s="1"/>
  <c r="V28" i="80"/>
  <c r="AB28" i="80" s="1"/>
  <c r="AG29" i="80"/>
  <c r="BY29" i="80"/>
  <c r="AH27" i="80"/>
  <c r="AN27" i="80" s="1"/>
  <c r="AS28" i="80"/>
  <c r="AL35" i="52"/>
  <c r="BD35" i="52"/>
  <c r="CE35" i="52"/>
  <c r="N32" i="80" l="1"/>
  <c r="T32" i="80"/>
  <c r="R30" i="80"/>
  <c r="AF30" i="80" s="1"/>
  <c r="AR30" i="80" s="1"/>
  <c r="BX29" i="80"/>
  <c r="CA29" i="80" s="1"/>
  <c r="CG29" i="80" s="1"/>
  <c r="V29" i="80"/>
  <c r="AB29" i="80" s="1"/>
  <c r="AZ28" i="80"/>
  <c r="BE28" i="80" s="1"/>
  <c r="AS29" i="80"/>
  <c r="AZ29" i="80" s="1"/>
  <c r="BE29" i="80" s="1"/>
  <c r="AH29" i="80"/>
  <c r="AN29" i="80" s="1"/>
  <c r="J32" i="80"/>
  <c r="AV31" i="80"/>
  <c r="AW31" i="80" s="1"/>
  <c r="BM31" i="80"/>
  <c r="BN31" i="80" s="1"/>
  <c r="BK31" i="80"/>
  <c r="BL31" i="80" s="1"/>
  <c r="P31" i="80"/>
  <c r="Q31" i="80" s="1"/>
  <c r="W31" i="80"/>
  <c r="X31" i="80" s="1"/>
  <c r="AA31" i="80" s="1"/>
  <c r="U31" i="80"/>
  <c r="O31" i="80"/>
  <c r="AT31" i="80"/>
  <c r="AU31" i="80" s="1"/>
  <c r="BZ31" i="80" s="1"/>
  <c r="BY30" i="80"/>
  <c r="AG30" i="80"/>
  <c r="AH28" i="80"/>
  <c r="AN28" i="80" s="1"/>
  <c r="BP30" i="80"/>
  <c r="BT30" i="80" s="1"/>
  <c r="H38" i="63"/>
  <c r="H36" i="63"/>
  <c r="F27" i="63"/>
  <c r="F21" i="63"/>
  <c r="F20" i="63"/>
  <c r="F18" i="63"/>
  <c r="F17" i="63"/>
  <c r="C43" i="63"/>
  <c r="C41" i="63"/>
  <c r="C39" i="63"/>
  <c r="C37" i="63"/>
  <c r="C36" i="63"/>
  <c r="C34" i="63"/>
  <c r="C33" i="63"/>
  <c r="C31" i="63"/>
  <c r="C29" i="63"/>
  <c r="C28" i="63"/>
  <c r="C26" i="63"/>
  <c r="C25" i="63"/>
  <c r="C23" i="63"/>
  <c r="C21" i="63"/>
  <c r="C20" i="63"/>
  <c r="C18" i="63"/>
  <c r="C17" i="63"/>
  <c r="C15" i="63"/>
  <c r="C14" i="63"/>
  <c r="C13" i="63"/>
  <c r="C11" i="63"/>
  <c r="C10" i="63"/>
  <c r="H38" i="39"/>
  <c r="H36" i="39"/>
  <c r="F27" i="39"/>
  <c r="F21" i="39"/>
  <c r="F20" i="39"/>
  <c r="F18" i="39"/>
  <c r="F17" i="39"/>
  <c r="C43" i="39"/>
  <c r="C41" i="39"/>
  <c r="C39" i="39"/>
  <c r="C37" i="39"/>
  <c r="C36" i="39"/>
  <c r="C34" i="39"/>
  <c r="C33" i="39"/>
  <c r="C31" i="39"/>
  <c r="C29" i="39"/>
  <c r="C28" i="39"/>
  <c r="C26" i="39"/>
  <c r="C25" i="39"/>
  <c r="C23" i="39"/>
  <c r="C21" i="39"/>
  <c r="C20" i="39"/>
  <c r="C18" i="39"/>
  <c r="C17" i="39"/>
  <c r="C15" i="39"/>
  <c r="C14" i="39"/>
  <c r="C13" i="39"/>
  <c r="C11" i="39"/>
  <c r="C10" i="39"/>
  <c r="H38" i="57"/>
  <c r="H36" i="57"/>
  <c r="F27" i="57"/>
  <c r="F21" i="57"/>
  <c r="F20" i="57"/>
  <c r="F18" i="57"/>
  <c r="F17" i="57"/>
  <c r="C43" i="57"/>
  <c r="C41" i="57"/>
  <c r="C39" i="57"/>
  <c r="C37" i="57"/>
  <c r="C36" i="57"/>
  <c r="C34" i="57"/>
  <c r="C33" i="57"/>
  <c r="C31" i="57"/>
  <c r="C29" i="57"/>
  <c r="C28" i="57"/>
  <c r="C26" i="57"/>
  <c r="C25" i="57"/>
  <c r="C23" i="57"/>
  <c r="C21" i="57"/>
  <c r="C20" i="57"/>
  <c r="C18" i="57"/>
  <c r="C17" i="57"/>
  <c r="C15" i="57"/>
  <c r="C14" i="57"/>
  <c r="C13" i="57"/>
  <c r="C11" i="57"/>
  <c r="C10" i="57"/>
  <c r="F27" i="34"/>
  <c r="H38" i="34"/>
  <c r="H36" i="34"/>
  <c r="F21" i="34"/>
  <c r="F20" i="34"/>
  <c r="F18" i="34"/>
  <c r="F17" i="34"/>
  <c r="C43" i="34"/>
  <c r="C41" i="34"/>
  <c r="C39" i="34"/>
  <c r="C37" i="34"/>
  <c r="C36" i="34"/>
  <c r="C34" i="34"/>
  <c r="C33" i="34"/>
  <c r="C31" i="34"/>
  <c r="C29" i="34"/>
  <c r="C28" i="34"/>
  <c r="C26" i="34"/>
  <c r="C25" i="34"/>
  <c r="C23" i="34"/>
  <c r="C21" i="34"/>
  <c r="C20" i="34"/>
  <c r="C18" i="34"/>
  <c r="C17" i="34"/>
  <c r="C15" i="34"/>
  <c r="C14" i="34"/>
  <c r="C13" i="34"/>
  <c r="C11" i="34"/>
  <c r="C10" i="34"/>
  <c r="T33" i="80" l="1"/>
  <c r="N33" i="80"/>
  <c r="V30" i="80"/>
  <c r="AB30" i="80" s="1"/>
  <c r="BX30" i="80"/>
  <c r="CA30" i="80" s="1"/>
  <c r="CG30" i="80" s="1"/>
  <c r="N14" i="34"/>
  <c r="T14" i="34"/>
  <c r="AV32" i="80"/>
  <c r="AW32" i="80" s="1"/>
  <c r="J33" i="80"/>
  <c r="O32" i="80"/>
  <c r="U32" i="80"/>
  <c r="W32" i="80"/>
  <c r="X32" i="80" s="1"/>
  <c r="AA32" i="80" s="1"/>
  <c r="BM32" i="80"/>
  <c r="BN32" i="80" s="1"/>
  <c r="BK32" i="80"/>
  <c r="BL32" i="80" s="1"/>
  <c r="P32" i="80"/>
  <c r="Q32" i="80" s="1"/>
  <c r="AT32" i="80"/>
  <c r="AU32" i="80" s="1"/>
  <c r="BZ32" i="80" s="1"/>
  <c r="R31" i="80"/>
  <c r="V31" i="80" s="1"/>
  <c r="AB31" i="80" s="1"/>
  <c r="BP31" i="80"/>
  <c r="BT31" i="80" s="1"/>
  <c r="AS30" i="80"/>
  <c r="AZ30" i="80" s="1"/>
  <c r="BE30" i="80" s="1"/>
  <c r="AH30" i="80"/>
  <c r="AN30" i="80" s="1"/>
  <c r="BY31" i="80"/>
  <c r="AG31" i="80"/>
  <c r="T34" i="80" l="1"/>
  <c r="N34" i="80"/>
  <c r="BP32" i="80"/>
  <c r="BT32" i="80" s="1"/>
  <c r="AS31" i="80"/>
  <c r="BY32" i="80"/>
  <c r="AG32" i="80"/>
  <c r="R32" i="80"/>
  <c r="V32" i="80" s="1"/>
  <c r="AB32" i="80" s="1"/>
  <c r="BX31" i="80"/>
  <c r="CA31" i="80" s="1"/>
  <c r="CG31" i="80" s="1"/>
  <c r="AF31" i="80"/>
  <c r="AR31" i="80" s="1"/>
  <c r="AV33" i="80"/>
  <c r="AW33" i="80" s="1"/>
  <c r="J34" i="80"/>
  <c r="W33" i="80"/>
  <c r="X33" i="80" s="1"/>
  <c r="AA33" i="80" s="1"/>
  <c r="O33" i="80"/>
  <c r="U33" i="80"/>
  <c r="AT33" i="80"/>
  <c r="AU33" i="80" s="1"/>
  <c r="BZ33" i="80" s="1"/>
  <c r="P33" i="80"/>
  <c r="Q33" i="80" s="1"/>
  <c r="BM33" i="80"/>
  <c r="BN33" i="80" s="1"/>
  <c r="BK33" i="80"/>
  <c r="BL33" i="80" s="1"/>
  <c r="AH31" i="80" l="1"/>
  <c r="AN31" i="80" s="1"/>
  <c r="R33" i="80"/>
  <c r="V33" i="80" s="1"/>
  <c r="AB33" i="80" s="1"/>
  <c r="AZ31" i="80"/>
  <c r="BE31" i="80" s="1"/>
  <c r="BP33" i="80"/>
  <c r="BT33" i="80" s="1"/>
  <c r="AG33" i="80"/>
  <c r="BY33" i="80"/>
  <c r="AS32" i="80"/>
  <c r="O34" i="80"/>
  <c r="W34" i="80"/>
  <c r="X34" i="80" s="1"/>
  <c r="AA34" i="80" s="1"/>
  <c r="BM34" i="80"/>
  <c r="BN34" i="80" s="1"/>
  <c r="AV34" i="80"/>
  <c r="AW34" i="80" s="1"/>
  <c r="AT34" i="80"/>
  <c r="AU34" i="80" s="1"/>
  <c r="BZ34" i="80" s="1"/>
  <c r="P34" i="80"/>
  <c r="Q34" i="80" s="1"/>
  <c r="U34" i="80"/>
  <c r="BK34" i="80"/>
  <c r="BL34" i="80" s="1"/>
  <c r="AF32" i="80"/>
  <c r="AR32" i="80" s="1"/>
  <c r="BX32" i="80"/>
  <c r="CA32" i="80" s="1"/>
  <c r="CG32" i="80" s="1"/>
  <c r="F23" i="63"/>
  <c r="F15" i="63"/>
  <c r="J14" i="63"/>
  <c r="CD34" i="63"/>
  <c r="CC34" i="63"/>
  <c r="CE34" i="63" s="1"/>
  <c r="BR34" i="63"/>
  <c r="BD34" i="63"/>
  <c r="AK34" i="63"/>
  <c r="AJ34" i="63"/>
  <c r="AL34" i="63" s="1"/>
  <c r="CD33" i="63"/>
  <c r="CC33" i="63"/>
  <c r="CE33" i="63" s="1"/>
  <c r="BR33" i="63"/>
  <c r="BD33" i="63"/>
  <c r="AK33" i="63"/>
  <c r="AJ33" i="63"/>
  <c r="AL33" i="63" s="1"/>
  <c r="CD32" i="63"/>
  <c r="CC32" i="63"/>
  <c r="CE32" i="63" s="1"/>
  <c r="BR32" i="63"/>
  <c r="BD32" i="63"/>
  <c r="AK32" i="63"/>
  <c r="AJ32" i="63"/>
  <c r="AL32" i="63" s="1"/>
  <c r="CD31" i="63"/>
  <c r="CC31" i="63"/>
  <c r="CE31" i="63" s="1"/>
  <c r="BR31" i="63"/>
  <c r="BD31" i="63"/>
  <c r="AK31" i="63"/>
  <c r="AJ31" i="63"/>
  <c r="AL31" i="63" s="1"/>
  <c r="CD30" i="63"/>
  <c r="CC30" i="63"/>
  <c r="CE30" i="63" s="1"/>
  <c r="BR30" i="63"/>
  <c r="BD30" i="63"/>
  <c r="AK30" i="63"/>
  <c r="AJ30" i="63"/>
  <c r="AL30" i="63" s="1"/>
  <c r="CD29" i="63"/>
  <c r="CC29" i="63"/>
  <c r="CE29" i="63" s="1"/>
  <c r="BR29" i="63"/>
  <c r="BD29" i="63"/>
  <c r="AK29" i="63"/>
  <c r="AJ29" i="63"/>
  <c r="AL29" i="63" s="1"/>
  <c r="CD28" i="63"/>
  <c r="CC28" i="63"/>
  <c r="CE28" i="63" s="1"/>
  <c r="BR28" i="63"/>
  <c r="BD28" i="63"/>
  <c r="AK28" i="63"/>
  <c r="AJ28" i="63"/>
  <c r="AL28" i="63" s="1"/>
  <c r="CD27" i="63"/>
  <c r="CC27" i="63"/>
  <c r="CE27" i="63" s="1"/>
  <c r="BR27" i="63"/>
  <c r="BD27" i="63"/>
  <c r="AK27" i="63"/>
  <c r="AJ27" i="63"/>
  <c r="AL27" i="63" s="1"/>
  <c r="CD26" i="63"/>
  <c r="CC26" i="63"/>
  <c r="CE26" i="63" s="1"/>
  <c r="BR26" i="63"/>
  <c r="BD26" i="63"/>
  <c r="AK26" i="63"/>
  <c r="AJ26" i="63"/>
  <c r="AL26" i="63" s="1"/>
  <c r="CD25" i="63"/>
  <c r="CC25" i="63"/>
  <c r="CE25" i="63" s="1"/>
  <c r="BR25" i="63"/>
  <c r="BD25" i="63"/>
  <c r="AK25" i="63"/>
  <c r="AJ25" i="63"/>
  <c r="AL25" i="63" s="1"/>
  <c r="CD24" i="63"/>
  <c r="CC24" i="63"/>
  <c r="CE24" i="63" s="1"/>
  <c r="BR24" i="63"/>
  <c r="BD24" i="63"/>
  <c r="AK24" i="63"/>
  <c r="AJ24" i="63"/>
  <c r="AL24" i="63" s="1"/>
  <c r="CD23" i="63"/>
  <c r="CC23" i="63"/>
  <c r="CE23" i="63" s="1"/>
  <c r="BR23" i="63"/>
  <c r="BD23" i="63"/>
  <c r="AK23" i="63"/>
  <c r="AJ23" i="63"/>
  <c r="AL23" i="63" s="1"/>
  <c r="CD22" i="63"/>
  <c r="CC22" i="63"/>
  <c r="CE22" i="63" s="1"/>
  <c r="BR22" i="63"/>
  <c r="BD22" i="63"/>
  <c r="AK22" i="63"/>
  <c r="AJ22" i="63"/>
  <c r="AL22" i="63" s="1"/>
  <c r="CD21" i="63"/>
  <c r="CC21" i="63"/>
  <c r="CE21" i="63" s="1"/>
  <c r="BR21" i="63"/>
  <c r="BD21" i="63"/>
  <c r="AK21" i="63"/>
  <c r="AJ21" i="63"/>
  <c r="AL21" i="63" s="1"/>
  <c r="CD20" i="63"/>
  <c r="CC20" i="63"/>
  <c r="CE20" i="63" s="1"/>
  <c r="BR20" i="63"/>
  <c r="BD20" i="63"/>
  <c r="AK20" i="63"/>
  <c r="AJ20" i="63"/>
  <c r="AL20" i="63" s="1"/>
  <c r="CD19" i="63"/>
  <c r="CC19" i="63"/>
  <c r="CE19" i="63" s="1"/>
  <c r="BR19" i="63"/>
  <c r="BD19" i="63"/>
  <c r="AK19" i="63"/>
  <c r="AJ19" i="63"/>
  <c r="AL19" i="63" s="1"/>
  <c r="CD18" i="63"/>
  <c r="CC18" i="63"/>
  <c r="CE18" i="63" s="1"/>
  <c r="BR18" i="63"/>
  <c r="BD18" i="63"/>
  <c r="AK18" i="63"/>
  <c r="AJ18" i="63"/>
  <c r="AL18" i="63" s="1"/>
  <c r="CD17" i="63"/>
  <c r="CC17" i="63"/>
  <c r="CE17" i="63" s="1"/>
  <c r="BR17" i="63"/>
  <c r="BD17" i="63"/>
  <c r="AK17" i="63"/>
  <c r="AJ17" i="63"/>
  <c r="AL17" i="63" s="1"/>
  <c r="BW14" i="63"/>
  <c r="BW15" i="63" s="1"/>
  <c r="BW16" i="63" s="1"/>
  <c r="BW17" i="63" s="1"/>
  <c r="BW18" i="63" s="1"/>
  <c r="BW19" i="63" s="1"/>
  <c r="BW20" i="63" s="1"/>
  <c r="BW21" i="63" s="1"/>
  <c r="BW22" i="63" s="1"/>
  <c r="BW23" i="63" s="1"/>
  <c r="BW24" i="63" s="1"/>
  <c r="BW25" i="63" s="1"/>
  <c r="BW26" i="63" s="1"/>
  <c r="BW27" i="63" s="1"/>
  <c r="BW28" i="63" s="1"/>
  <c r="BW29" i="63" s="1"/>
  <c r="BW30" i="63" s="1"/>
  <c r="BW31" i="63" s="1"/>
  <c r="BW32" i="63" s="1"/>
  <c r="BW33" i="63" s="1"/>
  <c r="BW34" i="63" s="1"/>
  <c r="BH14" i="63"/>
  <c r="BH15" i="63" s="1"/>
  <c r="AQ14" i="63"/>
  <c r="AQ15" i="63" s="1"/>
  <c r="AE14" i="63"/>
  <c r="AE15" i="63" s="1"/>
  <c r="AE16" i="63" s="1"/>
  <c r="AE17" i="63" s="1"/>
  <c r="AE18" i="63" s="1"/>
  <c r="AE19" i="63" s="1"/>
  <c r="AE20" i="63" s="1"/>
  <c r="AE21" i="63" s="1"/>
  <c r="AE22" i="63" s="1"/>
  <c r="AE23" i="63" s="1"/>
  <c r="AE24" i="63" s="1"/>
  <c r="AE25" i="63" s="1"/>
  <c r="AE26" i="63" s="1"/>
  <c r="AE27" i="63" s="1"/>
  <c r="AE28" i="63" s="1"/>
  <c r="AE29" i="63" s="1"/>
  <c r="AE30" i="63" s="1"/>
  <c r="AE31" i="63" s="1"/>
  <c r="AE32" i="63" s="1"/>
  <c r="AE33" i="63" s="1"/>
  <c r="AE34" i="63" s="1"/>
  <c r="L14" i="63"/>
  <c r="L15" i="63" s="1"/>
  <c r="BX5" i="63"/>
  <c r="BI5" i="63"/>
  <c r="AR5" i="63"/>
  <c r="AF5" i="63"/>
  <c r="M5" i="63"/>
  <c r="AF4" i="63"/>
  <c r="AR4" i="63" s="1"/>
  <c r="BI4" i="63" s="1"/>
  <c r="BX4" i="63" s="1"/>
  <c r="M4" i="63"/>
  <c r="F23" i="60"/>
  <c r="F15" i="60"/>
  <c r="B5" i="60"/>
  <c r="BX5" i="60" s="1"/>
  <c r="BW14" i="60"/>
  <c r="BW15" i="60" s="1"/>
  <c r="BW16" i="60" s="1"/>
  <c r="BW17" i="60" s="1"/>
  <c r="BW18" i="60" s="1"/>
  <c r="BW19" i="60" s="1"/>
  <c r="BW20" i="60" s="1"/>
  <c r="BW21" i="60" s="1"/>
  <c r="BW22" i="60" s="1"/>
  <c r="BW23" i="60" s="1"/>
  <c r="BW24" i="60" s="1"/>
  <c r="BW25" i="60" s="1"/>
  <c r="BW26" i="60" s="1"/>
  <c r="BW27" i="60" s="1"/>
  <c r="BW28" i="60" s="1"/>
  <c r="BW29" i="60" s="1"/>
  <c r="BW30" i="60" s="1"/>
  <c r="BW31" i="60" s="1"/>
  <c r="BW32" i="60" s="1"/>
  <c r="BW33" i="60" s="1"/>
  <c r="BW34" i="60" s="1"/>
  <c r="CD34" i="60"/>
  <c r="CC34" i="60"/>
  <c r="BR34" i="60"/>
  <c r="BD34" i="60"/>
  <c r="AK34" i="60"/>
  <c r="AJ34" i="60"/>
  <c r="CD33" i="60"/>
  <c r="CC33" i="60"/>
  <c r="CE33" i="60" s="1"/>
  <c r="BR33" i="60"/>
  <c r="BD33" i="60"/>
  <c r="AK33" i="60"/>
  <c r="AJ33" i="60"/>
  <c r="AL33" i="60" s="1"/>
  <c r="CD32" i="60"/>
  <c r="CC32" i="60"/>
  <c r="BR32" i="60"/>
  <c r="BD32" i="60"/>
  <c r="AK32" i="60"/>
  <c r="AJ32" i="60"/>
  <c r="CD31" i="60"/>
  <c r="CC31" i="60"/>
  <c r="BR31" i="60"/>
  <c r="BD31" i="60"/>
  <c r="AK31" i="60"/>
  <c r="AJ31" i="60"/>
  <c r="CD30" i="60"/>
  <c r="CC30" i="60"/>
  <c r="CE30" i="60" s="1"/>
  <c r="BR30" i="60"/>
  <c r="BD30" i="60"/>
  <c r="AK30" i="60"/>
  <c r="AJ30" i="60"/>
  <c r="AL30" i="60" s="1"/>
  <c r="CD29" i="60"/>
  <c r="CC29" i="60"/>
  <c r="CE29" i="60" s="1"/>
  <c r="BR29" i="60"/>
  <c r="BD29" i="60"/>
  <c r="AK29" i="60"/>
  <c r="AJ29" i="60"/>
  <c r="AL29" i="60" s="1"/>
  <c r="CD28" i="60"/>
  <c r="CC28" i="60"/>
  <c r="BR28" i="60"/>
  <c r="BD28" i="60"/>
  <c r="AK28" i="60"/>
  <c r="AJ28" i="60"/>
  <c r="CD27" i="60"/>
  <c r="CC27" i="60"/>
  <c r="CE27" i="60" s="1"/>
  <c r="BR27" i="60"/>
  <c r="BD27" i="60"/>
  <c r="AK27" i="60"/>
  <c r="AJ27" i="60"/>
  <c r="AL27" i="60" s="1"/>
  <c r="CD26" i="60"/>
  <c r="CC26" i="60"/>
  <c r="CE26" i="60" s="1"/>
  <c r="BR26" i="60"/>
  <c r="BD26" i="60"/>
  <c r="AK26" i="60"/>
  <c r="AJ26" i="60"/>
  <c r="AL26" i="60" s="1"/>
  <c r="CD25" i="60"/>
  <c r="CC25" i="60"/>
  <c r="BR25" i="60"/>
  <c r="BD25" i="60"/>
  <c r="AK25" i="60"/>
  <c r="AJ25" i="60"/>
  <c r="CD24" i="60"/>
  <c r="CC24" i="60"/>
  <c r="CE24" i="60" s="1"/>
  <c r="BR24" i="60"/>
  <c r="BD24" i="60"/>
  <c r="AK24" i="60"/>
  <c r="AJ24" i="60"/>
  <c r="AL24" i="60" s="1"/>
  <c r="CD23" i="60"/>
  <c r="CC23" i="60"/>
  <c r="CE23" i="60" s="1"/>
  <c r="BR23" i="60"/>
  <c r="BD23" i="60"/>
  <c r="AK23" i="60"/>
  <c r="AJ23" i="60"/>
  <c r="AL23" i="60" s="1"/>
  <c r="CD22" i="60"/>
  <c r="CC22" i="60"/>
  <c r="BR22" i="60"/>
  <c r="BD22" i="60"/>
  <c r="AK22" i="60"/>
  <c r="AJ22" i="60"/>
  <c r="CD21" i="60"/>
  <c r="CC21" i="60"/>
  <c r="BR21" i="60"/>
  <c r="BD21" i="60"/>
  <c r="AK21" i="60"/>
  <c r="AJ21" i="60"/>
  <c r="CD20" i="60"/>
  <c r="CC20" i="60"/>
  <c r="CE20" i="60" s="1"/>
  <c r="BR20" i="60"/>
  <c r="BD20" i="60"/>
  <c r="AK20" i="60"/>
  <c r="AJ20" i="60"/>
  <c r="AL20" i="60" s="1"/>
  <c r="CD19" i="60"/>
  <c r="CC19" i="60"/>
  <c r="BR19" i="60"/>
  <c r="BD19" i="60"/>
  <c r="AK19" i="60"/>
  <c r="AJ19" i="60"/>
  <c r="CD18" i="60"/>
  <c r="CC18" i="60"/>
  <c r="BR18" i="60"/>
  <c r="BD18" i="60"/>
  <c r="AK18" i="60"/>
  <c r="AJ18" i="60"/>
  <c r="CD17" i="60"/>
  <c r="CC17" i="60"/>
  <c r="CE17" i="60" s="1"/>
  <c r="BR17" i="60"/>
  <c r="BD17" i="60"/>
  <c r="AK17" i="60"/>
  <c r="AJ17" i="60"/>
  <c r="AL17" i="60" s="1"/>
  <c r="AE14" i="60"/>
  <c r="AE15" i="60" s="1"/>
  <c r="AE16" i="60" s="1"/>
  <c r="AE17" i="60" s="1"/>
  <c r="AE18" i="60" s="1"/>
  <c r="AE19" i="60" s="1"/>
  <c r="AE20" i="60" s="1"/>
  <c r="AE21" i="60" s="1"/>
  <c r="AE22" i="60" s="1"/>
  <c r="AE23" i="60" s="1"/>
  <c r="AE24" i="60" s="1"/>
  <c r="AE25" i="60" s="1"/>
  <c r="AE26" i="60" s="1"/>
  <c r="AE27" i="60" s="1"/>
  <c r="AE28" i="60" s="1"/>
  <c r="AE29" i="60" s="1"/>
  <c r="AE30" i="60" s="1"/>
  <c r="AE31" i="60" s="1"/>
  <c r="AE32" i="60" s="1"/>
  <c r="AE33" i="60" s="1"/>
  <c r="AE34" i="60" s="1"/>
  <c r="AF4" i="60"/>
  <c r="AR4" i="60" s="1"/>
  <c r="BI4" i="60" s="1"/>
  <c r="BX4" i="60" s="1"/>
  <c r="M4" i="60"/>
  <c r="F23" i="57"/>
  <c r="F15" i="57"/>
  <c r="BW14" i="57"/>
  <c r="BW15" i="57" s="1"/>
  <c r="BW16" i="57" s="1"/>
  <c r="BW17" i="57" s="1"/>
  <c r="BW18" i="57" s="1"/>
  <c r="BW19" i="57" s="1"/>
  <c r="BW20" i="57" s="1"/>
  <c r="BW21" i="57" s="1"/>
  <c r="BW22" i="57" s="1"/>
  <c r="BW23" i="57" s="1"/>
  <c r="BW24" i="57" s="1"/>
  <c r="BW25" i="57" s="1"/>
  <c r="BW26" i="57" s="1"/>
  <c r="BW27" i="57" s="1"/>
  <c r="BW28" i="57" s="1"/>
  <c r="BW29" i="57" s="1"/>
  <c r="BW30" i="57" s="1"/>
  <c r="BW31" i="57" s="1"/>
  <c r="BW32" i="57" s="1"/>
  <c r="BW33" i="57" s="1"/>
  <c r="BW34" i="57" s="1"/>
  <c r="CD34" i="57"/>
  <c r="CC34" i="57"/>
  <c r="BR34" i="57"/>
  <c r="BD34" i="57"/>
  <c r="AK34" i="57"/>
  <c r="AJ34" i="57"/>
  <c r="CD33" i="57"/>
  <c r="CC33" i="57"/>
  <c r="CE33" i="57" s="1"/>
  <c r="BR33" i="57"/>
  <c r="BD33" i="57"/>
  <c r="AK33" i="57"/>
  <c r="AJ33" i="57"/>
  <c r="AL33" i="57" s="1"/>
  <c r="CD32" i="57"/>
  <c r="CC32" i="57"/>
  <c r="BR32" i="57"/>
  <c r="BD32" i="57"/>
  <c r="AK32" i="57"/>
  <c r="AJ32" i="57"/>
  <c r="CD31" i="57"/>
  <c r="CC31" i="57"/>
  <c r="CE31" i="57" s="1"/>
  <c r="BR31" i="57"/>
  <c r="BD31" i="57"/>
  <c r="AK31" i="57"/>
  <c r="AJ31" i="57"/>
  <c r="AL31" i="57" s="1"/>
  <c r="CD30" i="57"/>
  <c r="CC30" i="57"/>
  <c r="BR30" i="57"/>
  <c r="BD30" i="57"/>
  <c r="AK30" i="57"/>
  <c r="AJ30" i="57"/>
  <c r="CD29" i="57"/>
  <c r="CC29" i="57"/>
  <c r="CE29" i="57" s="1"/>
  <c r="BR29" i="57"/>
  <c r="BD29" i="57"/>
  <c r="AK29" i="57"/>
  <c r="AJ29" i="57"/>
  <c r="AL29" i="57" s="1"/>
  <c r="CD28" i="57"/>
  <c r="CC28" i="57"/>
  <c r="BR28" i="57"/>
  <c r="BD28" i="57"/>
  <c r="AK28" i="57"/>
  <c r="AJ28" i="57"/>
  <c r="CD27" i="57"/>
  <c r="CC27" i="57"/>
  <c r="CE27" i="57" s="1"/>
  <c r="BR27" i="57"/>
  <c r="BD27" i="57"/>
  <c r="AK27" i="57"/>
  <c r="AJ27" i="57"/>
  <c r="AL27" i="57" s="1"/>
  <c r="CD26" i="57"/>
  <c r="CC26" i="57"/>
  <c r="BR26" i="57"/>
  <c r="BD26" i="57"/>
  <c r="AK26" i="57"/>
  <c r="AJ26" i="57"/>
  <c r="CD25" i="57"/>
  <c r="CC25" i="57"/>
  <c r="CE25" i="57" s="1"/>
  <c r="BR25" i="57"/>
  <c r="BD25" i="57"/>
  <c r="AK25" i="57"/>
  <c r="AJ25" i="57"/>
  <c r="AL25" i="57" s="1"/>
  <c r="CD24" i="57"/>
  <c r="CC24" i="57"/>
  <c r="BR24" i="57"/>
  <c r="BD24" i="57"/>
  <c r="AK24" i="57"/>
  <c r="AJ24" i="57"/>
  <c r="CD23" i="57"/>
  <c r="CC23" i="57"/>
  <c r="CE23" i="57" s="1"/>
  <c r="BR23" i="57"/>
  <c r="BD23" i="57"/>
  <c r="AK23" i="57"/>
  <c r="AJ23" i="57"/>
  <c r="AL23" i="57" s="1"/>
  <c r="CD22" i="57"/>
  <c r="CC22" i="57"/>
  <c r="BR22" i="57"/>
  <c r="BD22" i="57"/>
  <c r="AK22" i="57"/>
  <c r="AJ22" i="57"/>
  <c r="CD21" i="57"/>
  <c r="CC21" i="57"/>
  <c r="CE21" i="57" s="1"/>
  <c r="BR21" i="57"/>
  <c r="BD21" i="57"/>
  <c r="AK21" i="57"/>
  <c r="AJ21" i="57"/>
  <c r="AL21" i="57" s="1"/>
  <c r="CD20" i="57"/>
  <c r="CC20" i="57"/>
  <c r="BR20" i="57"/>
  <c r="BD20" i="57"/>
  <c r="AK20" i="57"/>
  <c r="AJ20" i="57"/>
  <c r="CD19" i="57"/>
  <c r="CC19" i="57"/>
  <c r="CE19" i="57" s="1"/>
  <c r="BR19" i="57"/>
  <c r="BD19" i="57"/>
  <c r="AK19" i="57"/>
  <c r="AJ19" i="57"/>
  <c r="AL19" i="57" s="1"/>
  <c r="CD18" i="57"/>
  <c r="CC18" i="57"/>
  <c r="BR18" i="57"/>
  <c r="BD18" i="57"/>
  <c r="AK18" i="57"/>
  <c r="AJ18" i="57"/>
  <c r="CD17" i="57"/>
  <c r="CC17" i="57"/>
  <c r="CE17" i="57" s="1"/>
  <c r="BR17" i="57"/>
  <c r="BD17" i="57"/>
  <c r="AK17" i="57"/>
  <c r="AJ17" i="57"/>
  <c r="AL17" i="57" s="1"/>
  <c r="BH14" i="57"/>
  <c r="AE14" i="57"/>
  <c r="AE15" i="57" s="1"/>
  <c r="AE16" i="57" s="1"/>
  <c r="AE17" i="57" s="1"/>
  <c r="AE18" i="57" s="1"/>
  <c r="AE19" i="57" s="1"/>
  <c r="AE20" i="57" s="1"/>
  <c r="AE21" i="57" s="1"/>
  <c r="AE22" i="57" s="1"/>
  <c r="AE23" i="57" s="1"/>
  <c r="AE24" i="57" s="1"/>
  <c r="AE25" i="57" s="1"/>
  <c r="AE26" i="57" s="1"/>
  <c r="AE27" i="57" s="1"/>
  <c r="AE28" i="57" s="1"/>
  <c r="AE29" i="57" s="1"/>
  <c r="AE30" i="57" s="1"/>
  <c r="AE31" i="57" s="1"/>
  <c r="AE32" i="57" s="1"/>
  <c r="AE33" i="57" s="1"/>
  <c r="AE34" i="57" s="1"/>
  <c r="BX5" i="57"/>
  <c r="BI5" i="57"/>
  <c r="AR5" i="57"/>
  <c r="AF5" i="57"/>
  <c r="M5" i="57"/>
  <c r="AF4" i="57"/>
  <c r="AR4" i="57" s="1"/>
  <c r="BI4" i="57" s="1"/>
  <c r="BX4" i="57" s="1"/>
  <c r="M4" i="57"/>
  <c r="T15" i="63" l="1"/>
  <c r="N15" i="63"/>
  <c r="BI5" i="60"/>
  <c r="BX33" i="80"/>
  <c r="CA33" i="80" s="1"/>
  <c r="CG33" i="80" s="1"/>
  <c r="AZ32" i="80"/>
  <c r="BE32" i="80" s="1"/>
  <c r="AF33" i="80"/>
  <c r="AR33" i="80" s="1"/>
  <c r="BP34" i="80"/>
  <c r="BP36" i="80" s="1"/>
  <c r="R34" i="80"/>
  <c r="AH32" i="80"/>
  <c r="AN32" i="80" s="1"/>
  <c r="BY34" i="80"/>
  <c r="AG34" i="80"/>
  <c r="AS33" i="80"/>
  <c r="AL18" i="60"/>
  <c r="CE18" i="60"/>
  <c r="AL21" i="60"/>
  <c r="CE21" i="60"/>
  <c r="AL32" i="60"/>
  <c r="CE32" i="60"/>
  <c r="AL18" i="57"/>
  <c r="CE18" i="57"/>
  <c r="AL20" i="57"/>
  <c r="CE20" i="57"/>
  <c r="AL22" i="57"/>
  <c r="CE22" i="57"/>
  <c r="AL24" i="57"/>
  <c r="CE24" i="57"/>
  <c r="AL26" i="57"/>
  <c r="CE26" i="57"/>
  <c r="AL28" i="57"/>
  <c r="CE28" i="57"/>
  <c r="AL30" i="57"/>
  <c r="CE30" i="57"/>
  <c r="AL32" i="57"/>
  <c r="CE32" i="57"/>
  <c r="AL34" i="57"/>
  <c r="CE34" i="57"/>
  <c r="AL19" i="60"/>
  <c r="CE19" i="60"/>
  <c r="AL22" i="60"/>
  <c r="CE22" i="60"/>
  <c r="AL25" i="60"/>
  <c r="CE25" i="60"/>
  <c r="AL28" i="60"/>
  <c r="CE28" i="60"/>
  <c r="AL31" i="60"/>
  <c r="CE31" i="60"/>
  <c r="AL34" i="60"/>
  <c r="CE34" i="60"/>
  <c r="L14" i="57"/>
  <c r="L15" i="57" s="1"/>
  <c r="AQ14" i="57"/>
  <c r="AQ15" i="57" s="1"/>
  <c r="AF5" i="60"/>
  <c r="BR15" i="60"/>
  <c r="BH14" i="60"/>
  <c r="BH15" i="60" s="1"/>
  <c r="BH16" i="60" s="1"/>
  <c r="J14" i="57"/>
  <c r="BR14" i="57"/>
  <c r="AV14" i="63"/>
  <c r="L14" i="60"/>
  <c r="L15" i="60" s="1"/>
  <c r="L16" i="60" s="1"/>
  <c r="AQ14" i="60"/>
  <c r="AQ15" i="60" s="1"/>
  <c r="AQ16" i="60" s="1"/>
  <c r="J14" i="60"/>
  <c r="BR14" i="63"/>
  <c r="M5" i="60"/>
  <c r="AR5" i="60"/>
  <c r="BR14" i="60"/>
  <c r="BI14" i="60"/>
  <c r="M14" i="57"/>
  <c r="M14" i="63"/>
  <c r="BR16" i="63"/>
  <c r="BI15" i="63"/>
  <c r="L16" i="63"/>
  <c r="P14" i="63"/>
  <c r="Z14" i="63"/>
  <c r="AK14" i="63" s="1"/>
  <c r="AT14" i="63"/>
  <c r="AU14" i="63" s="1"/>
  <c r="BZ14" i="63" s="1"/>
  <c r="BI14" i="63"/>
  <c r="BK14" i="63"/>
  <c r="BM14" i="63"/>
  <c r="BN14" i="63" s="1"/>
  <c r="BI16" i="63"/>
  <c r="Z16" i="63"/>
  <c r="AK16" i="63" s="1"/>
  <c r="DB21" i="63"/>
  <c r="J15" i="63"/>
  <c r="AQ16" i="63"/>
  <c r="BH16" i="63"/>
  <c r="BR15" i="63"/>
  <c r="W14" i="63"/>
  <c r="BI15" i="60"/>
  <c r="Z15" i="60"/>
  <c r="AK15" i="60" s="1"/>
  <c r="Z14" i="60"/>
  <c r="Z16" i="60"/>
  <c r="AK16" i="60" s="1"/>
  <c r="L16" i="57"/>
  <c r="BR15" i="57"/>
  <c r="Z14" i="57"/>
  <c r="BI14" i="57"/>
  <c r="BH15" i="57"/>
  <c r="Z16" i="57"/>
  <c r="BI16" i="57"/>
  <c r="Z15" i="57"/>
  <c r="BI15" i="57"/>
  <c r="W15" i="63" l="1"/>
  <c r="N16" i="63"/>
  <c r="T16" i="63"/>
  <c r="DB21" i="57"/>
  <c r="T15" i="57"/>
  <c r="N15" i="57"/>
  <c r="AV14" i="60"/>
  <c r="T15" i="60"/>
  <c r="N15" i="60"/>
  <c r="BT34" i="80"/>
  <c r="BT36" i="80" s="1"/>
  <c r="AZ33" i="80"/>
  <c r="BE33" i="80" s="1"/>
  <c r="AH33" i="80"/>
  <c r="AN33" i="80" s="1"/>
  <c r="BP37" i="80"/>
  <c r="BJ40" i="80" s="1"/>
  <c r="G45" i="80" s="1"/>
  <c r="W14" i="57"/>
  <c r="X14" i="57" s="1"/>
  <c r="BJ14" i="63"/>
  <c r="BL14" i="63" s="1"/>
  <c r="AF34" i="80"/>
  <c r="AR34" i="80" s="1"/>
  <c r="BX34" i="80"/>
  <c r="CA34" i="80" s="1"/>
  <c r="V34" i="80"/>
  <c r="AS34" i="80"/>
  <c r="S14" i="63"/>
  <c r="J15" i="57"/>
  <c r="AV14" i="57"/>
  <c r="AW14" i="57" s="1"/>
  <c r="P14" i="57"/>
  <c r="Q14" i="57" s="1"/>
  <c r="BM14" i="57"/>
  <c r="BN14" i="57" s="1"/>
  <c r="AT14" i="57"/>
  <c r="AU14" i="57" s="1"/>
  <c r="BZ14" i="57" s="1"/>
  <c r="O14" i="57"/>
  <c r="BK14" i="57"/>
  <c r="M15" i="60"/>
  <c r="J15" i="60"/>
  <c r="P14" i="60"/>
  <c r="W14" i="60"/>
  <c r="BK14" i="60"/>
  <c r="BM14" i="60"/>
  <c r="BN14" i="60" s="1"/>
  <c r="BC14" i="63"/>
  <c r="CD14" i="63" s="1"/>
  <c r="Q14" i="63"/>
  <c r="X14" i="63"/>
  <c r="O14" i="63"/>
  <c r="BJ14" i="57"/>
  <c r="S14" i="57"/>
  <c r="DB21" i="60"/>
  <c r="BI16" i="60"/>
  <c r="AT14" i="60"/>
  <c r="AU14" i="60" s="1"/>
  <c r="BZ14" i="60" s="1"/>
  <c r="Z15" i="63"/>
  <c r="AK15" i="63" s="1"/>
  <c r="AW14" i="63"/>
  <c r="M14" i="60"/>
  <c r="BM15" i="63"/>
  <c r="BN15" i="63" s="1"/>
  <c r="BR36" i="63"/>
  <c r="BC15" i="60"/>
  <c r="CD15" i="60" s="1"/>
  <c r="AK15" i="57"/>
  <c r="AK16" i="57"/>
  <c r="AK14" i="57"/>
  <c r="BR37" i="63"/>
  <c r="BC15" i="63"/>
  <c r="CD15" i="63" s="1"/>
  <c r="DB22" i="63"/>
  <c r="J16" i="63"/>
  <c r="AV15" i="63"/>
  <c r="AT15" i="63"/>
  <c r="AU15" i="63" s="1"/>
  <c r="BZ15" i="63" s="1"/>
  <c r="P15" i="63"/>
  <c r="M15" i="63"/>
  <c r="BK15" i="63"/>
  <c r="BH17" i="63"/>
  <c r="AQ17" i="63"/>
  <c r="M16" i="63"/>
  <c r="L17" i="63"/>
  <c r="BC16" i="63"/>
  <c r="CD16" i="63" s="1"/>
  <c r="BC16" i="60"/>
  <c r="CD16" i="60" s="1"/>
  <c r="BR16" i="60"/>
  <c r="BH17" i="60"/>
  <c r="AQ17" i="60"/>
  <c r="BC14" i="60"/>
  <c r="CD14" i="60" s="1"/>
  <c r="AK14" i="60"/>
  <c r="L17" i="60"/>
  <c r="M16" i="60"/>
  <c r="AQ16" i="57"/>
  <c r="M16" i="57"/>
  <c r="L17" i="57"/>
  <c r="BC14" i="57"/>
  <c r="BC15" i="57"/>
  <c r="BH16" i="57"/>
  <c r="BR16" i="57"/>
  <c r="BC16" i="57"/>
  <c r="M15" i="57"/>
  <c r="BT37" i="80" l="1"/>
  <c r="BJ39" i="80" s="1"/>
  <c r="F45" i="80" s="1"/>
  <c r="BK15" i="60"/>
  <c r="T16" i="60"/>
  <c r="N16" i="60"/>
  <c r="W15" i="57"/>
  <c r="T16" i="57"/>
  <c r="N16" i="57"/>
  <c r="N17" i="63"/>
  <c r="T17" i="63"/>
  <c r="AH34" i="80"/>
  <c r="AH37" i="80" s="1"/>
  <c r="U14" i="57"/>
  <c r="BY14" i="57" s="1"/>
  <c r="BM15" i="57"/>
  <c r="BN15" i="57" s="1"/>
  <c r="AT15" i="57"/>
  <c r="AU15" i="57" s="1"/>
  <c r="BZ15" i="57" s="1"/>
  <c r="DB22" i="57"/>
  <c r="X15" i="63"/>
  <c r="U14" i="63"/>
  <c r="BP14" i="63"/>
  <c r="BT14" i="63" s="1"/>
  <c r="AB34" i="80"/>
  <c r="V36" i="80"/>
  <c r="V37" i="80"/>
  <c r="CG34" i="80"/>
  <c r="CA37" i="80"/>
  <c r="CA36" i="80"/>
  <c r="AH36" i="80"/>
  <c r="AZ34" i="80"/>
  <c r="BL14" i="57"/>
  <c r="BP14" i="57" s="1"/>
  <c r="BT14" i="57" s="1"/>
  <c r="DB22" i="60"/>
  <c r="O15" i="57"/>
  <c r="AV15" i="57"/>
  <c r="AW15" i="57" s="1"/>
  <c r="BK15" i="57"/>
  <c r="P15" i="57"/>
  <c r="Q15" i="57" s="1"/>
  <c r="J16" i="57"/>
  <c r="S15" i="60"/>
  <c r="BJ15" i="60"/>
  <c r="BM15" i="60"/>
  <c r="BN15" i="60" s="1"/>
  <c r="AT15" i="60"/>
  <c r="AU15" i="60" s="1"/>
  <c r="BZ15" i="60" s="1"/>
  <c r="O15" i="60"/>
  <c r="AV15" i="60"/>
  <c r="AW15" i="60" s="1"/>
  <c r="W15" i="60"/>
  <c r="X15" i="60" s="1"/>
  <c r="P15" i="60"/>
  <c r="Q15" i="60" s="1"/>
  <c r="J16" i="60"/>
  <c r="X14" i="60"/>
  <c r="R14" i="63"/>
  <c r="R14" i="57"/>
  <c r="AF14" i="57" s="1"/>
  <c r="AR14" i="57" s="1"/>
  <c r="AW14" i="60"/>
  <c r="BJ14" i="60"/>
  <c r="BL14" i="60" s="1"/>
  <c r="BP14" i="60" s="1"/>
  <c r="BT14" i="60" s="1"/>
  <c r="O14" i="60"/>
  <c r="S14" i="60"/>
  <c r="Q14" i="60"/>
  <c r="CD15" i="57"/>
  <c r="CD14" i="57"/>
  <c r="CD16" i="57"/>
  <c r="BJ16" i="63"/>
  <c r="S16" i="63"/>
  <c r="AQ18" i="63"/>
  <c r="BH18" i="63"/>
  <c r="BJ15" i="63"/>
  <c r="S15" i="63"/>
  <c r="Q15" i="63"/>
  <c r="O15" i="63"/>
  <c r="AW15" i="63"/>
  <c r="L18" i="63"/>
  <c r="M17" i="63"/>
  <c r="J17" i="63"/>
  <c r="DB23" i="63"/>
  <c r="AV16" i="63"/>
  <c r="AW16" i="63" s="1"/>
  <c r="AT16" i="63"/>
  <c r="AU16" i="63" s="1"/>
  <c r="BZ16" i="63" s="1"/>
  <c r="P16" i="63"/>
  <c r="Q16" i="63" s="1"/>
  <c r="O16" i="63"/>
  <c r="BK16" i="63"/>
  <c r="W16" i="63"/>
  <c r="X16" i="63" s="1"/>
  <c r="BM16" i="63"/>
  <c r="BN16" i="63" s="1"/>
  <c r="BJ16" i="60"/>
  <c r="S16" i="60"/>
  <c r="AQ18" i="60"/>
  <c r="BH18" i="60"/>
  <c r="L18" i="60"/>
  <c r="M17" i="60"/>
  <c r="BR36" i="60"/>
  <c r="BR37" i="60"/>
  <c r="L18" i="57"/>
  <c r="M17" i="57"/>
  <c r="BJ15" i="57"/>
  <c r="S15" i="57"/>
  <c r="BR36" i="57"/>
  <c r="BR37" i="57"/>
  <c r="BH17" i="57"/>
  <c r="BJ16" i="57"/>
  <c r="S16" i="57"/>
  <c r="AT16" i="57"/>
  <c r="AU16" i="57" s="1"/>
  <c r="O16" i="57"/>
  <c r="X15" i="57"/>
  <c r="AQ17" i="57"/>
  <c r="BL15" i="60" l="1"/>
  <c r="AN34" i="80"/>
  <c r="AT16" i="60"/>
  <c r="AU16" i="60" s="1"/>
  <c r="BZ16" i="60" s="1"/>
  <c r="N17" i="60"/>
  <c r="T17" i="60"/>
  <c r="T18" i="63"/>
  <c r="N18" i="63"/>
  <c r="J17" i="57"/>
  <c r="N17" i="57"/>
  <c r="T17" i="57"/>
  <c r="AV16" i="57"/>
  <c r="AW16" i="57" s="1"/>
  <c r="BM16" i="57"/>
  <c r="BN16" i="57" s="1"/>
  <c r="AG14" i="57"/>
  <c r="AS14" i="57" s="1"/>
  <c r="AZ14" i="57" s="1"/>
  <c r="P16" i="60"/>
  <c r="Q16" i="60" s="1"/>
  <c r="BX14" i="63"/>
  <c r="AG14" i="63"/>
  <c r="AS14" i="63" s="1"/>
  <c r="U15" i="63"/>
  <c r="BY14" i="63"/>
  <c r="BE34" i="80"/>
  <c r="AZ36" i="80"/>
  <c r="AZ37" i="80"/>
  <c r="U15" i="60"/>
  <c r="BY15" i="60" s="1"/>
  <c r="V14" i="63"/>
  <c r="W16" i="57"/>
  <c r="X16" i="57" s="1"/>
  <c r="P16" i="57"/>
  <c r="Q16" i="57" s="1"/>
  <c r="R16" i="57" s="1"/>
  <c r="DB23" i="57"/>
  <c r="BK16" i="57"/>
  <c r="BL16" i="57" s="1"/>
  <c r="V14" i="57"/>
  <c r="BX14" i="57"/>
  <c r="W16" i="60"/>
  <c r="X16" i="60" s="1"/>
  <c r="O16" i="60"/>
  <c r="BM16" i="60"/>
  <c r="BN16" i="60" s="1"/>
  <c r="U16" i="60"/>
  <c r="J17" i="60"/>
  <c r="AV16" i="60"/>
  <c r="AW16" i="60" s="1"/>
  <c r="R15" i="60"/>
  <c r="BX15" i="60" s="1"/>
  <c r="BK16" i="60"/>
  <c r="BL16" i="60" s="1"/>
  <c r="DB23" i="60"/>
  <c r="BP15" i="60"/>
  <c r="BT15" i="60" s="1"/>
  <c r="U14" i="60"/>
  <c r="CA14" i="57"/>
  <c r="AF14" i="63"/>
  <c r="AR14" i="63" s="1"/>
  <c r="R14" i="60"/>
  <c r="U16" i="63"/>
  <c r="R15" i="63"/>
  <c r="U15" i="57"/>
  <c r="AG15" i="57" s="1"/>
  <c r="U16" i="57"/>
  <c r="AG16" i="57" s="1"/>
  <c r="BZ16" i="57"/>
  <c r="DB24" i="63"/>
  <c r="J18" i="63"/>
  <c r="AV17" i="63"/>
  <c r="AW17" i="63" s="1"/>
  <c r="AT17" i="63"/>
  <c r="AU17" i="63" s="1"/>
  <c r="BZ17" i="63" s="1"/>
  <c r="P17" i="63"/>
  <c r="Q17" i="63" s="1"/>
  <c r="BK17" i="63"/>
  <c r="BM17" i="63"/>
  <c r="BN17" i="63" s="1"/>
  <c r="W17" i="63"/>
  <c r="X17" i="63" s="1"/>
  <c r="O17" i="63"/>
  <c r="S17" i="63"/>
  <c r="BJ17" i="63"/>
  <c r="BL15" i="63"/>
  <c r="BH19" i="63"/>
  <c r="BL16" i="63"/>
  <c r="L19" i="63"/>
  <c r="M18" i="63"/>
  <c r="AQ19" i="63"/>
  <c r="R16" i="63"/>
  <c r="BJ17" i="60"/>
  <c r="S17" i="60"/>
  <c r="M18" i="60"/>
  <c r="L19" i="60"/>
  <c r="BH19" i="60"/>
  <c r="AQ19" i="60"/>
  <c r="AQ18" i="57"/>
  <c r="J18" i="57"/>
  <c r="AT17" i="57"/>
  <c r="AU17" i="57" s="1"/>
  <c r="BK17" i="57"/>
  <c r="O17" i="57"/>
  <c r="W17" i="57"/>
  <c r="X17" i="57" s="1"/>
  <c r="BH18" i="57"/>
  <c r="S17" i="57"/>
  <c r="BJ17" i="57"/>
  <c r="R15" i="57"/>
  <c r="BL15" i="57"/>
  <c r="L19" i="57"/>
  <c r="M18" i="57"/>
  <c r="T19" i="57" l="1"/>
  <c r="N19" i="57"/>
  <c r="N18" i="57"/>
  <c r="T18" i="57"/>
  <c r="BM17" i="57"/>
  <c r="BN17" i="57" s="1"/>
  <c r="P17" i="57"/>
  <c r="Q17" i="57" s="1"/>
  <c r="R17" i="57" s="1"/>
  <c r="AF17" i="57" s="1"/>
  <c r="AR17" i="57" s="1"/>
  <c r="DB24" i="57"/>
  <c r="T19" i="63"/>
  <c r="N19" i="63"/>
  <c r="DB24" i="60"/>
  <c r="N18" i="60"/>
  <c r="T18" i="60"/>
  <c r="AV17" i="57"/>
  <c r="AW17" i="57" s="1"/>
  <c r="AT17" i="60"/>
  <c r="AU17" i="60" s="1"/>
  <c r="BZ17" i="60" s="1"/>
  <c r="AH14" i="57"/>
  <c r="R16" i="60"/>
  <c r="AF16" i="60" s="1"/>
  <c r="AR16" i="60" s="1"/>
  <c r="AG15" i="60"/>
  <c r="AS15" i="60" s="1"/>
  <c r="CA14" i="63"/>
  <c r="AA17" i="63"/>
  <c r="AF15" i="63"/>
  <c r="AR15" i="63" s="1"/>
  <c r="AG15" i="63"/>
  <c r="AS15" i="63" s="1"/>
  <c r="BP16" i="63"/>
  <c r="BT16" i="63" s="1"/>
  <c r="BY16" i="63"/>
  <c r="BY15" i="63"/>
  <c r="BP15" i="63"/>
  <c r="BT15" i="63" s="1"/>
  <c r="CA15" i="60"/>
  <c r="U17" i="63"/>
  <c r="BX15" i="63"/>
  <c r="BM17" i="60"/>
  <c r="BN17" i="60" s="1"/>
  <c r="AV17" i="60"/>
  <c r="AW17" i="60" s="1"/>
  <c r="AH14" i="63"/>
  <c r="W17" i="60"/>
  <c r="X17" i="60" s="1"/>
  <c r="AA17" i="60" s="1"/>
  <c r="AF15" i="60"/>
  <c r="AR15" i="60" s="1"/>
  <c r="AG14" i="60"/>
  <c r="AS14" i="60" s="1"/>
  <c r="V15" i="60"/>
  <c r="BK17" i="60"/>
  <c r="BL17" i="60" s="1"/>
  <c r="P17" i="60"/>
  <c r="Q17" i="60" s="1"/>
  <c r="J18" i="60"/>
  <c r="BP16" i="60"/>
  <c r="BT16" i="60" s="1"/>
  <c r="O17" i="60"/>
  <c r="U17" i="60"/>
  <c r="BY14" i="60"/>
  <c r="BY15" i="57"/>
  <c r="AZ14" i="63"/>
  <c r="BY16" i="57"/>
  <c r="AG16" i="63"/>
  <c r="AS16" i="63" s="1"/>
  <c r="V15" i="63"/>
  <c r="AF14" i="60"/>
  <c r="AR14" i="60" s="1"/>
  <c r="BX14" i="60"/>
  <c r="V14" i="60"/>
  <c r="R17" i="63"/>
  <c r="BP16" i="57"/>
  <c r="BT16" i="57" s="1"/>
  <c r="BP15" i="57"/>
  <c r="BT15" i="57" s="1"/>
  <c r="V15" i="57"/>
  <c r="V16" i="57"/>
  <c r="U17" i="57"/>
  <c r="AG17" i="57" s="1"/>
  <c r="AA17" i="57"/>
  <c r="BZ17" i="57"/>
  <c r="BX16" i="63"/>
  <c r="AF16" i="63"/>
  <c r="AR16" i="63" s="1"/>
  <c r="AQ20" i="63"/>
  <c r="BJ18" i="63"/>
  <c r="S18" i="63"/>
  <c r="BH20" i="63"/>
  <c r="DB30" i="63"/>
  <c r="AV18" i="63"/>
  <c r="AW18" i="63" s="1"/>
  <c r="AT18" i="63"/>
  <c r="AU18" i="63" s="1"/>
  <c r="BZ18" i="63" s="1"/>
  <c r="P18" i="63"/>
  <c r="Q18" i="63" s="1"/>
  <c r="J19" i="63"/>
  <c r="BM18" i="63"/>
  <c r="BN18" i="63" s="1"/>
  <c r="BK18" i="63"/>
  <c r="W18" i="63"/>
  <c r="X18" i="63" s="1"/>
  <c r="O18" i="63"/>
  <c r="V16" i="63"/>
  <c r="BL17" i="63"/>
  <c r="L20" i="63"/>
  <c r="M19" i="63"/>
  <c r="AQ20" i="60"/>
  <c r="BH20" i="60"/>
  <c r="S18" i="60"/>
  <c r="BJ18" i="60"/>
  <c r="L20" i="60"/>
  <c r="M19" i="60"/>
  <c r="BY16" i="60"/>
  <c r="AG16" i="60"/>
  <c r="AS16" i="57"/>
  <c r="BJ18" i="57"/>
  <c r="S18" i="57"/>
  <c r="BX15" i="57"/>
  <c r="AF15" i="57"/>
  <c r="AR15" i="57" s="1"/>
  <c r="DB30" i="57"/>
  <c r="AV18" i="57"/>
  <c r="AW18" i="57" s="1"/>
  <c r="AT18" i="57"/>
  <c r="AU18" i="57" s="1"/>
  <c r="P18" i="57"/>
  <c r="Q18" i="57" s="1"/>
  <c r="J19" i="57"/>
  <c r="W18" i="57"/>
  <c r="X18" i="57" s="1"/>
  <c r="BM18" i="57"/>
  <c r="BN18" i="57" s="1"/>
  <c r="O18" i="57"/>
  <c r="BK18" i="57"/>
  <c r="AQ19" i="57"/>
  <c r="BL17" i="57"/>
  <c r="L20" i="57"/>
  <c r="M19" i="57"/>
  <c r="BX16" i="57"/>
  <c r="AF16" i="57"/>
  <c r="AR16" i="57" s="1"/>
  <c r="AS15" i="57"/>
  <c r="BH19" i="57"/>
  <c r="CD34" i="52"/>
  <c r="CC34" i="52"/>
  <c r="BD34" i="52"/>
  <c r="AK34" i="52"/>
  <c r="AJ34" i="52"/>
  <c r="CD33" i="52"/>
  <c r="CC33" i="52"/>
  <c r="BD33" i="52"/>
  <c r="AK33" i="52"/>
  <c r="AJ33" i="52"/>
  <c r="CD32" i="52"/>
  <c r="CC32" i="52"/>
  <c r="BD32" i="52"/>
  <c r="AK32" i="52"/>
  <c r="AJ32" i="52"/>
  <c r="CD31" i="52"/>
  <c r="CC31" i="52"/>
  <c r="BD31" i="52"/>
  <c r="AK31" i="52"/>
  <c r="AJ31" i="52"/>
  <c r="CD30" i="52"/>
  <c r="CC30" i="52"/>
  <c r="BD30" i="52"/>
  <c r="AK30" i="52"/>
  <c r="AJ30" i="52"/>
  <c r="CD29" i="52"/>
  <c r="CC29" i="52"/>
  <c r="BD29" i="52"/>
  <c r="AK29" i="52"/>
  <c r="AJ29" i="52"/>
  <c r="CD28" i="52"/>
  <c r="CC28" i="52"/>
  <c r="BD28" i="52"/>
  <c r="AK28" i="52"/>
  <c r="AJ28" i="52"/>
  <c r="CD27" i="52"/>
  <c r="CC27" i="52"/>
  <c r="BD27" i="52"/>
  <c r="AK27" i="52"/>
  <c r="AJ27" i="52"/>
  <c r="CD26" i="52"/>
  <c r="CC26" i="52"/>
  <c r="BD26" i="52"/>
  <c r="AK26" i="52"/>
  <c r="AJ26" i="52"/>
  <c r="CD25" i="52"/>
  <c r="CC25" i="52"/>
  <c r="BD25" i="52"/>
  <c r="AK25" i="52"/>
  <c r="AJ25" i="52"/>
  <c r="CD24" i="52"/>
  <c r="CC24" i="52"/>
  <c r="BD24" i="52"/>
  <c r="AK24" i="52"/>
  <c r="AJ24" i="52"/>
  <c r="CD23" i="52"/>
  <c r="CC23" i="52"/>
  <c r="BD23" i="52"/>
  <c r="AK23" i="52"/>
  <c r="AJ23" i="52"/>
  <c r="CD22" i="52"/>
  <c r="CC22" i="52"/>
  <c r="BD22" i="52"/>
  <c r="AK22" i="52"/>
  <c r="AJ22" i="52"/>
  <c r="CD21" i="52"/>
  <c r="CC21" i="52"/>
  <c r="BD21" i="52"/>
  <c r="AK21" i="52"/>
  <c r="AJ21" i="52"/>
  <c r="CD20" i="52"/>
  <c r="CC20" i="52"/>
  <c r="BD20" i="52"/>
  <c r="AK20" i="52"/>
  <c r="AJ20" i="52"/>
  <c r="CD19" i="52"/>
  <c r="CC19" i="52"/>
  <c r="BD19" i="52"/>
  <c r="AK19" i="52"/>
  <c r="AJ19" i="52"/>
  <c r="CD18" i="52"/>
  <c r="CC18" i="52"/>
  <c r="BD18" i="52"/>
  <c r="AK18" i="52"/>
  <c r="AJ18" i="52"/>
  <c r="CD17" i="52"/>
  <c r="CC17" i="52"/>
  <c r="BD17" i="52"/>
  <c r="AK17" i="52"/>
  <c r="AJ17" i="52"/>
  <c r="BW14" i="52"/>
  <c r="BW15" i="52" s="1"/>
  <c r="BW16" i="52" s="1"/>
  <c r="BW17" i="52" s="1"/>
  <c r="BW18" i="52" s="1"/>
  <c r="BW19" i="52" s="1"/>
  <c r="BW20" i="52" s="1"/>
  <c r="BW21" i="52" s="1"/>
  <c r="BW22" i="52" s="1"/>
  <c r="BW23" i="52" s="1"/>
  <c r="BW24" i="52" s="1"/>
  <c r="BW25" i="52" s="1"/>
  <c r="BW26" i="52" s="1"/>
  <c r="BW27" i="52" s="1"/>
  <c r="BW28" i="52" s="1"/>
  <c r="BW29" i="52" s="1"/>
  <c r="BW30" i="52" s="1"/>
  <c r="BW31" i="52" s="1"/>
  <c r="BW32" i="52" s="1"/>
  <c r="BW33" i="52" s="1"/>
  <c r="BW34" i="52" s="1"/>
  <c r="BW35" i="52" s="1"/>
  <c r="BH14" i="52"/>
  <c r="BH15" i="52" s="1"/>
  <c r="AQ14" i="52"/>
  <c r="AQ15" i="52" s="1"/>
  <c r="AE14" i="52"/>
  <c r="AE15" i="52" s="1"/>
  <c r="AE16" i="52" s="1"/>
  <c r="AE17" i="52" s="1"/>
  <c r="AE18" i="52" s="1"/>
  <c r="AE19" i="52" s="1"/>
  <c r="AE20" i="52" s="1"/>
  <c r="AE21" i="52" s="1"/>
  <c r="AE22" i="52" s="1"/>
  <c r="AE23" i="52" s="1"/>
  <c r="AE24" i="52" s="1"/>
  <c r="AE25" i="52" s="1"/>
  <c r="AE26" i="52" s="1"/>
  <c r="AE27" i="52" s="1"/>
  <c r="AE28" i="52" s="1"/>
  <c r="AE29" i="52" s="1"/>
  <c r="AE30" i="52" s="1"/>
  <c r="AE31" i="52" s="1"/>
  <c r="AE32" i="52" s="1"/>
  <c r="AE33" i="52" s="1"/>
  <c r="AE34" i="52" s="1"/>
  <c r="AE35" i="52" s="1"/>
  <c r="L14" i="52"/>
  <c r="L15" i="52" s="1"/>
  <c r="J14" i="52"/>
  <c r="BX5" i="52"/>
  <c r="BI5" i="52"/>
  <c r="AR5" i="52"/>
  <c r="AF5" i="52"/>
  <c r="M5" i="52"/>
  <c r="AF4" i="52"/>
  <c r="AR4" i="52" s="1"/>
  <c r="BI4" i="52" s="1"/>
  <c r="BX4" i="52" s="1"/>
  <c r="M4" i="52"/>
  <c r="N20" i="63" l="1"/>
  <c r="T20" i="63"/>
  <c r="AV18" i="60"/>
  <c r="AW18" i="60" s="1"/>
  <c r="T19" i="60"/>
  <c r="N19" i="60"/>
  <c r="T20" i="57"/>
  <c r="N20" i="57"/>
  <c r="BX16" i="60"/>
  <c r="CA16" i="60" s="1"/>
  <c r="V16" i="60"/>
  <c r="AZ15" i="60"/>
  <c r="AH15" i="63"/>
  <c r="BY17" i="63"/>
  <c r="CA16" i="63"/>
  <c r="AA18" i="63"/>
  <c r="BP17" i="63"/>
  <c r="BT17" i="63" s="1"/>
  <c r="AZ15" i="63"/>
  <c r="BX17" i="63"/>
  <c r="CA15" i="63"/>
  <c r="AG17" i="63"/>
  <c r="AS17" i="63" s="1"/>
  <c r="BP17" i="60"/>
  <c r="BT17" i="60" s="1"/>
  <c r="J19" i="60"/>
  <c r="R17" i="60"/>
  <c r="AF17" i="60" s="1"/>
  <c r="AR17" i="60" s="1"/>
  <c r="CA16" i="57"/>
  <c r="AH15" i="60"/>
  <c r="DB30" i="60"/>
  <c r="CA14" i="60"/>
  <c r="O18" i="60"/>
  <c r="BM18" i="60"/>
  <c r="BN18" i="60" s="1"/>
  <c r="P18" i="60"/>
  <c r="Q18" i="60" s="1"/>
  <c r="U18" i="60"/>
  <c r="W18" i="60"/>
  <c r="X18" i="60" s="1"/>
  <c r="AA18" i="60" s="1"/>
  <c r="AT18" i="60"/>
  <c r="AU18" i="60" s="1"/>
  <c r="BZ18" i="60" s="1"/>
  <c r="BK18" i="60"/>
  <c r="BL18" i="60" s="1"/>
  <c r="CA15" i="57"/>
  <c r="BY17" i="57"/>
  <c r="AH15" i="57"/>
  <c r="AF17" i="63"/>
  <c r="AR17" i="63" s="1"/>
  <c r="AH16" i="63"/>
  <c r="BX17" i="57"/>
  <c r="AZ16" i="57"/>
  <c r="V17" i="63"/>
  <c r="AB17" i="63" s="1"/>
  <c r="V17" i="57"/>
  <c r="AB17" i="57" s="1"/>
  <c r="AH14" i="60"/>
  <c r="AZ14" i="60"/>
  <c r="R18" i="63"/>
  <c r="R18" i="57"/>
  <c r="AF18" i="57" s="1"/>
  <c r="AR18" i="57" s="1"/>
  <c r="AA18" i="57"/>
  <c r="BZ18" i="57"/>
  <c r="BP17" i="57"/>
  <c r="BT17" i="57" s="1"/>
  <c r="U18" i="57"/>
  <c r="CE18" i="52"/>
  <c r="AL19" i="52"/>
  <c r="CE20" i="52"/>
  <c r="CE24" i="52"/>
  <c r="AL25" i="52"/>
  <c r="CE26" i="52"/>
  <c r="CE28" i="52"/>
  <c r="CE30" i="52"/>
  <c r="AL31" i="52"/>
  <c r="CE32" i="52"/>
  <c r="AL33" i="52"/>
  <c r="CE34" i="52"/>
  <c r="BJ19" i="63"/>
  <c r="S19" i="63"/>
  <c r="U18" i="63"/>
  <c r="AZ16" i="63"/>
  <c r="L21" i="63"/>
  <c r="M20" i="63"/>
  <c r="DB31" i="63"/>
  <c r="J20" i="63"/>
  <c r="AV19" i="63"/>
  <c r="AW19" i="63" s="1"/>
  <c r="AT19" i="63"/>
  <c r="AU19" i="63" s="1"/>
  <c r="BZ19" i="63" s="1"/>
  <c r="P19" i="63"/>
  <c r="Q19" i="63" s="1"/>
  <c r="BK19" i="63"/>
  <c r="W19" i="63"/>
  <c r="X19" i="63" s="1"/>
  <c r="O19" i="63"/>
  <c r="BM19" i="63"/>
  <c r="BN19" i="63" s="1"/>
  <c r="BH21" i="63"/>
  <c r="BL18" i="63"/>
  <c r="AQ21" i="63"/>
  <c r="BY17" i="60"/>
  <c r="AG17" i="60"/>
  <c r="AH16" i="60"/>
  <c r="AS16" i="60"/>
  <c r="AZ16" i="60" s="1"/>
  <c r="L21" i="60"/>
  <c r="M20" i="60"/>
  <c r="AQ21" i="60"/>
  <c r="AT19" i="60"/>
  <c r="AU19" i="60" s="1"/>
  <c r="BZ19" i="60" s="1"/>
  <c r="BK19" i="60"/>
  <c r="S19" i="60"/>
  <c r="BJ19" i="60"/>
  <c r="BH21" i="60"/>
  <c r="BH20" i="57"/>
  <c r="AS17" i="57"/>
  <c r="AZ17" i="57" s="1"/>
  <c r="BE17" i="57" s="1"/>
  <c r="AH17" i="57"/>
  <c r="AN17" i="57" s="1"/>
  <c r="L21" i="57"/>
  <c r="M20" i="57"/>
  <c r="DB31" i="57"/>
  <c r="J20" i="57"/>
  <c r="AV19" i="57"/>
  <c r="AW19" i="57" s="1"/>
  <c r="AT19" i="57"/>
  <c r="AU19" i="57" s="1"/>
  <c r="P19" i="57"/>
  <c r="Q19" i="57" s="1"/>
  <c r="BK19" i="57"/>
  <c r="W19" i="57"/>
  <c r="X19" i="57" s="1"/>
  <c r="BM19" i="57"/>
  <c r="BN19" i="57" s="1"/>
  <c r="O19" i="57"/>
  <c r="BL18" i="57"/>
  <c r="AZ15" i="57"/>
  <c r="AH16" i="57"/>
  <c r="BJ19" i="57"/>
  <c r="S19" i="57"/>
  <c r="AQ20" i="57"/>
  <c r="CE17" i="52"/>
  <c r="AL18" i="52"/>
  <c r="CE19" i="52"/>
  <c r="CE21" i="52"/>
  <c r="CE23" i="52"/>
  <c r="AL24" i="52"/>
  <c r="CE25" i="52"/>
  <c r="CE27" i="52"/>
  <c r="CE29" i="52"/>
  <c r="CE31" i="52"/>
  <c r="AL34" i="52"/>
  <c r="CE22" i="52"/>
  <c r="CE33" i="52"/>
  <c r="AL26" i="52"/>
  <c r="AL27" i="52"/>
  <c r="AL28" i="52"/>
  <c r="AL29" i="52"/>
  <c r="AL17" i="52"/>
  <c r="AL20" i="52"/>
  <c r="AL21" i="52"/>
  <c r="AL22" i="52"/>
  <c r="AL23" i="52"/>
  <c r="AL30" i="52"/>
  <c r="AL32" i="52"/>
  <c r="BH16" i="52"/>
  <c r="L16" i="52"/>
  <c r="AQ16" i="52"/>
  <c r="J15" i="52"/>
  <c r="DB21" i="52"/>
  <c r="F15" i="39"/>
  <c r="F23" i="39"/>
  <c r="BW14" i="39"/>
  <c r="BW15" i="39" s="1"/>
  <c r="BW16" i="39" s="1"/>
  <c r="BW17" i="39" s="1"/>
  <c r="BW18" i="39" s="1"/>
  <c r="BW19" i="39" s="1"/>
  <c r="BW20" i="39" s="1"/>
  <c r="BW21" i="39" s="1"/>
  <c r="BW22" i="39" s="1"/>
  <c r="BW23" i="39" s="1"/>
  <c r="BW24" i="39" s="1"/>
  <c r="BW25" i="39" s="1"/>
  <c r="BW26" i="39" s="1"/>
  <c r="BW27" i="39" s="1"/>
  <c r="BW28" i="39" s="1"/>
  <c r="BW29" i="39" s="1"/>
  <c r="BW30" i="39" s="1"/>
  <c r="BW31" i="39" s="1"/>
  <c r="BW32" i="39" s="1"/>
  <c r="BW33" i="39" s="1"/>
  <c r="BW34" i="39" s="1"/>
  <c r="CD34" i="39"/>
  <c r="CC34" i="39"/>
  <c r="BR34" i="39"/>
  <c r="BD34" i="39"/>
  <c r="AK34" i="39"/>
  <c r="AJ34" i="39"/>
  <c r="CD33" i="39"/>
  <c r="CC33" i="39"/>
  <c r="BR33" i="39"/>
  <c r="BD33" i="39"/>
  <c r="AK33" i="39"/>
  <c r="AJ33" i="39"/>
  <c r="CD32" i="39"/>
  <c r="CC32" i="39"/>
  <c r="BR32" i="39"/>
  <c r="BD32" i="39"/>
  <c r="AK32" i="39"/>
  <c r="AJ32" i="39"/>
  <c r="AL32" i="39" s="1"/>
  <c r="CD31" i="39"/>
  <c r="CC31" i="39"/>
  <c r="BR31" i="39"/>
  <c r="BD31" i="39"/>
  <c r="AK31" i="39"/>
  <c r="AJ31" i="39"/>
  <c r="CD30" i="39"/>
  <c r="CC30" i="39"/>
  <c r="CE30" i="39" s="1"/>
  <c r="BR30" i="39"/>
  <c r="BD30" i="39"/>
  <c r="AK30" i="39"/>
  <c r="AJ30" i="39"/>
  <c r="AL30" i="39" s="1"/>
  <c r="CD29" i="39"/>
  <c r="CC29" i="39"/>
  <c r="CE29" i="39" s="1"/>
  <c r="BR29" i="39"/>
  <c r="BD29" i="39"/>
  <c r="AK29" i="39"/>
  <c r="AJ29" i="39"/>
  <c r="AL29" i="39" s="1"/>
  <c r="CD28" i="39"/>
  <c r="CC28" i="39"/>
  <c r="CE28" i="39" s="1"/>
  <c r="BR28" i="39"/>
  <c r="BD28" i="39"/>
  <c r="AK28" i="39"/>
  <c r="AJ28" i="39"/>
  <c r="AL28" i="39" s="1"/>
  <c r="CD27" i="39"/>
  <c r="CC27" i="39"/>
  <c r="CE27" i="39" s="1"/>
  <c r="BR27" i="39"/>
  <c r="BD27" i="39"/>
  <c r="AK27" i="39"/>
  <c r="AJ27" i="39"/>
  <c r="AL27" i="39" s="1"/>
  <c r="CD26" i="39"/>
  <c r="CC26" i="39"/>
  <c r="CE26" i="39" s="1"/>
  <c r="BR26" i="39"/>
  <c r="BD26" i="39"/>
  <c r="AK26" i="39"/>
  <c r="AJ26" i="39"/>
  <c r="AL26" i="39" s="1"/>
  <c r="CD25" i="39"/>
  <c r="CC25" i="39"/>
  <c r="CE25" i="39" s="1"/>
  <c r="BR25" i="39"/>
  <c r="BD25" i="39"/>
  <c r="AK25" i="39"/>
  <c r="AJ25" i="39"/>
  <c r="AL25" i="39" s="1"/>
  <c r="CD24" i="39"/>
  <c r="CC24" i="39"/>
  <c r="CE24" i="39" s="1"/>
  <c r="BR24" i="39"/>
  <c r="BD24" i="39"/>
  <c r="AK24" i="39"/>
  <c r="AJ24" i="39"/>
  <c r="AL24" i="39" s="1"/>
  <c r="CD23" i="39"/>
  <c r="CC23" i="39"/>
  <c r="CE23" i="39" s="1"/>
  <c r="BR23" i="39"/>
  <c r="BD23" i="39"/>
  <c r="AK23" i="39"/>
  <c r="AJ23" i="39"/>
  <c r="AL23" i="39" s="1"/>
  <c r="CD22" i="39"/>
  <c r="CC22" i="39"/>
  <c r="CE22" i="39" s="1"/>
  <c r="BR22" i="39"/>
  <c r="BD22" i="39"/>
  <c r="AK22" i="39"/>
  <c r="AJ22" i="39"/>
  <c r="AL22" i="39" s="1"/>
  <c r="CD21" i="39"/>
  <c r="CC21" i="39"/>
  <c r="CE21" i="39" s="1"/>
  <c r="BR21" i="39"/>
  <c r="BD21" i="39"/>
  <c r="AK21" i="39"/>
  <c r="AJ21" i="39"/>
  <c r="AL21" i="39" s="1"/>
  <c r="CD20" i="39"/>
  <c r="CC20" i="39"/>
  <c r="CE20" i="39" s="1"/>
  <c r="BR20" i="39"/>
  <c r="BD20" i="39"/>
  <c r="AK20" i="39"/>
  <c r="AJ20" i="39"/>
  <c r="AL20" i="39" s="1"/>
  <c r="CD19" i="39"/>
  <c r="CC19" i="39"/>
  <c r="CE19" i="39" s="1"/>
  <c r="BR19" i="39"/>
  <c r="BD19" i="39"/>
  <c r="AK19" i="39"/>
  <c r="AJ19" i="39"/>
  <c r="AL19" i="39" s="1"/>
  <c r="CD18" i="39"/>
  <c r="CC18" i="39"/>
  <c r="CE18" i="39" s="1"/>
  <c r="BR18" i="39"/>
  <c r="BD18" i="39"/>
  <c r="AK18" i="39"/>
  <c r="AJ18" i="39"/>
  <c r="AL18" i="39" s="1"/>
  <c r="CD17" i="39"/>
  <c r="CC17" i="39"/>
  <c r="CE17" i="39" s="1"/>
  <c r="BR17" i="39"/>
  <c r="BD17" i="39"/>
  <c r="AK17" i="39"/>
  <c r="AJ17" i="39"/>
  <c r="AL17" i="39" s="1"/>
  <c r="AQ14" i="39"/>
  <c r="AQ15" i="39" s="1"/>
  <c r="BX5" i="39"/>
  <c r="BI5" i="39"/>
  <c r="AR5" i="39"/>
  <c r="AF5" i="39"/>
  <c r="M5" i="39"/>
  <c r="AF4" i="39"/>
  <c r="AR4" i="39" s="1"/>
  <c r="BI4" i="39" s="1"/>
  <c r="BX4" i="39" s="1"/>
  <c r="M4" i="39"/>
  <c r="F15" i="34"/>
  <c r="F23" i="34"/>
  <c r="CC34" i="34"/>
  <c r="CB34" i="34"/>
  <c r="BQ34" i="34"/>
  <c r="BR34" i="52" s="1"/>
  <c r="BC34" i="34"/>
  <c r="AJ34" i="34"/>
  <c r="AI34" i="34"/>
  <c r="CC33" i="34"/>
  <c r="CB33" i="34"/>
  <c r="BQ33" i="34"/>
  <c r="BR33" i="52" s="1"/>
  <c r="BC33" i="34"/>
  <c r="AJ33" i="34"/>
  <c r="AI33" i="34"/>
  <c r="CC32" i="34"/>
  <c r="CB32" i="34"/>
  <c r="BQ32" i="34"/>
  <c r="BR32" i="52" s="1"/>
  <c r="BC32" i="34"/>
  <c r="AJ32" i="34"/>
  <c r="AI32" i="34"/>
  <c r="CC31" i="34"/>
  <c r="CB31" i="34"/>
  <c r="BQ31" i="34"/>
  <c r="BR31" i="52" s="1"/>
  <c r="BC31" i="34"/>
  <c r="AJ31" i="34"/>
  <c r="AI31" i="34"/>
  <c r="CC30" i="34"/>
  <c r="CB30" i="34"/>
  <c r="BQ30" i="34"/>
  <c r="BR30" i="52" s="1"/>
  <c r="BC30" i="34"/>
  <c r="AJ30" i="34"/>
  <c r="AI30" i="34"/>
  <c r="CC29" i="34"/>
  <c r="CB29" i="34"/>
  <c r="BQ29" i="34"/>
  <c r="BR29" i="52" s="1"/>
  <c r="BC29" i="34"/>
  <c r="AJ29" i="34"/>
  <c r="AI29" i="34"/>
  <c r="CC28" i="34"/>
  <c r="CB28" i="34"/>
  <c r="BQ28" i="34"/>
  <c r="BR28" i="52" s="1"/>
  <c r="BC28" i="34"/>
  <c r="AJ28" i="34"/>
  <c r="AI28" i="34"/>
  <c r="CC27" i="34"/>
  <c r="CB27" i="34"/>
  <c r="BQ27" i="34"/>
  <c r="BR27" i="52" s="1"/>
  <c r="BC27" i="34"/>
  <c r="AJ27" i="34"/>
  <c r="AI27" i="34"/>
  <c r="CC26" i="34"/>
  <c r="CB26" i="34"/>
  <c r="BQ26" i="34"/>
  <c r="BR26" i="52" s="1"/>
  <c r="BC26" i="34"/>
  <c r="AJ26" i="34"/>
  <c r="AI26" i="34"/>
  <c r="CC25" i="34"/>
  <c r="CB25" i="34"/>
  <c r="BQ25" i="34"/>
  <c r="BR25" i="52" s="1"/>
  <c r="BC25" i="34"/>
  <c r="AJ25" i="34"/>
  <c r="AI25" i="34"/>
  <c r="CC24" i="34"/>
  <c r="CB24" i="34"/>
  <c r="BQ24" i="34"/>
  <c r="BR24" i="52" s="1"/>
  <c r="BC24" i="34"/>
  <c r="AJ24" i="34"/>
  <c r="AI24" i="34"/>
  <c r="CC23" i="34"/>
  <c r="CB23" i="34"/>
  <c r="BQ23" i="34"/>
  <c r="BR23" i="52" s="1"/>
  <c r="BC23" i="34"/>
  <c r="AJ23" i="34"/>
  <c r="AI23" i="34"/>
  <c r="CC22" i="34"/>
  <c r="CB22" i="34"/>
  <c r="BQ22" i="34"/>
  <c r="BR22" i="52" s="1"/>
  <c r="BC22" i="34"/>
  <c r="AJ22" i="34"/>
  <c r="AI22" i="34"/>
  <c r="CC21" i="34"/>
  <c r="CB21" i="34"/>
  <c r="BQ21" i="34"/>
  <c r="BR21" i="52" s="1"/>
  <c r="BC21" i="34"/>
  <c r="AJ21" i="34"/>
  <c r="AI21" i="34"/>
  <c r="CC20" i="34"/>
  <c r="CB20" i="34"/>
  <c r="BQ20" i="34"/>
  <c r="BR20" i="52" s="1"/>
  <c r="BC20" i="34"/>
  <c r="AJ20" i="34"/>
  <c r="AI20" i="34"/>
  <c r="CC19" i="34"/>
  <c r="CB19" i="34"/>
  <c r="BQ19" i="34"/>
  <c r="BR19" i="52" s="1"/>
  <c r="BC19" i="34"/>
  <c r="AJ19" i="34"/>
  <c r="AI19" i="34"/>
  <c r="CC18" i="34"/>
  <c r="CB18" i="34"/>
  <c r="BQ18" i="34"/>
  <c r="BR18" i="52" s="1"/>
  <c r="BC18" i="34"/>
  <c r="AJ18" i="34"/>
  <c r="AI18" i="34"/>
  <c r="CC17" i="34"/>
  <c r="CB17" i="34"/>
  <c r="BQ17" i="34"/>
  <c r="BR17" i="52" s="1"/>
  <c r="BC17" i="34"/>
  <c r="AJ17" i="34"/>
  <c r="AI17" i="34"/>
  <c r="BV14" i="34"/>
  <c r="BV15" i="34" s="1"/>
  <c r="BV16" i="34" s="1"/>
  <c r="BV17" i="34" s="1"/>
  <c r="BV18" i="34" s="1"/>
  <c r="BV19" i="34" s="1"/>
  <c r="BV20" i="34" s="1"/>
  <c r="BV21" i="34" s="1"/>
  <c r="BV22" i="34" s="1"/>
  <c r="BV23" i="34" s="1"/>
  <c r="BV24" i="34" s="1"/>
  <c r="BV25" i="34" s="1"/>
  <c r="BV26" i="34" s="1"/>
  <c r="BV27" i="34" s="1"/>
  <c r="BV28" i="34" s="1"/>
  <c r="BV29" i="34" s="1"/>
  <c r="BV30" i="34" s="1"/>
  <c r="BV31" i="34" s="1"/>
  <c r="BV32" i="34" s="1"/>
  <c r="BV33" i="34" s="1"/>
  <c r="BV34" i="34" s="1"/>
  <c r="BG14" i="34"/>
  <c r="BG15" i="34" s="1"/>
  <c r="AP14" i="34"/>
  <c r="AP15" i="34" s="1"/>
  <c r="AD14" i="34"/>
  <c r="AD15" i="34" s="1"/>
  <c r="AD16" i="34" s="1"/>
  <c r="AD17" i="34" s="1"/>
  <c r="AD18" i="34" s="1"/>
  <c r="AD19" i="34" s="1"/>
  <c r="AD20" i="34" s="1"/>
  <c r="AD21" i="34" s="1"/>
  <c r="AD22" i="34" s="1"/>
  <c r="AD23" i="34" s="1"/>
  <c r="AD24" i="34" s="1"/>
  <c r="AD25" i="34" s="1"/>
  <c r="AD26" i="34" s="1"/>
  <c r="AD27" i="34" s="1"/>
  <c r="AD28" i="34" s="1"/>
  <c r="AD29" i="34" s="1"/>
  <c r="AD30" i="34" s="1"/>
  <c r="AD31" i="34" s="1"/>
  <c r="AD32" i="34" s="1"/>
  <c r="AD33" i="34" s="1"/>
  <c r="AD34" i="34" s="1"/>
  <c r="L14" i="34"/>
  <c r="L15" i="34" s="1"/>
  <c r="L16" i="34" s="1"/>
  <c r="J14" i="34"/>
  <c r="BW5" i="34"/>
  <c r="BH5" i="34"/>
  <c r="AQ5" i="34"/>
  <c r="AE5" i="34"/>
  <c r="M5" i="34"/>
  <c r="AE4" i="34"/>
  <c r="AQ4" i="34" s="1"/>
  <c r="BH4" i="34" s="1"/>
  <c r="BW4" i="34" s="1"/>
  <c r="M4" i="34"/>
  <c r="N21" i="57" l="1"/>
  <c r="T21" i="57"/>
  <c r="AK17" i="34"/>
  <c r="CD17" i="34"/>
  <c r="AK19" i="34"/>
  <c r="CD19" i="34"/>
  <c r="AK21" i="34"/>
  <c r="CD21" i="34"/>
  <c r="AK23" i="34"/>
  <c r="CD23" i="34"/>
  <c r="AK25" i="34"/>
  <c r="CD25" i="34"/>
  <c r="AK27" i="34"/>
  <c r="CD27" i="34"/>
  <c r="AK29" i="34"/>
  <c r="CD29" i="34"/>
  <c r="AK31" i="34"/>
  <c r="CD31" i="34"/>
  <c r="AK33" i="34"/>
  <c r="CD33" i="34"/>
  <c r="N21" i="63"/>
  <c r="T21" i="63"/>
  <c r="DA21" i="34"/>
  <c r="N15" i="34"/>
  <c r="T15" i="34"/>
  <c r="DB31" i="60"/>
  <c r="T20" i="60"/>
  <c r="N20" i="60"/>
  <c r="CA17" i="63"/>
  <c r="CA17" i="57"/>
  <c r="CG17" i="57" s="1"/>
  <c r="O19" i="60"/>
  <c r="W19" i="60"/>
  <c r="X19" i="60" s="1"/>
  <c r="AA19" i="60" s="1"/>
  <c r="J20" i="60"/>
  <c r="BM19" i="60"/>
  <c r="BN19" i="60" s="1"/>
  <c r="AV19" i="60"/>
  <c r="AW19" i="60" s="1"/>
  <c r="P19" i="60"/>
  <c r="Q19" i="60" s="1"/>
  <c r="V17" i="60"/>
  <c r="AB17" i="60" s="1"/>
  <c r="AF18" i="63"/>
  <c r="AR18" i="63" s="1"/>
  <c r="BP18" i="63"/>
  <c r="BT18" i="63" s="1"/>
  <c r="AA19" i="63"/>
  <c r="BX17" i="60"/>
  <c r="CA17" i="60" s="1"/>
  <c r="CG17" i="60" s="1"/>
  <c r="AK18" i="34"/>
  <c r="CD18" i="34"/>
  <c r="AK20" i="34"/>
  <c r="CD20" i="34"/>
  <c r="AK22" i="34"/>
  <c r="CD22" i="34"/>
  <c r="AK24" i="34"/>
  <c r="CD24" i="34"/>
  <c r="AK26" i="34"/>
  <c r="CD26" i="34"/>
  <c r="AK28" i="34"/>
  <c r="CD28" i="34"/>
  <c r="AK30" i="34"/>
  <c r="CD30" i="34"/>
  <c r="AK32" i="34"/>
  <c r="CD32" i="34"/>
  <c r="AK34" i="34"/>
  <c r="CD34" i="34"/>
  <c r="BP18" i="60"/>
  <c r="BT18" i="60" s="1"/>
  <c r="R18" i="60"/>
  <c r="BX18" i="60" s="1"/>
  <c r="BL19" i="60"/>
  <c r="BP19" i="60" s="1"/>
  <c r="BT19" i="60" s="1"/>
  <c r="U19" i="60"/>
  <c r="AG19" i="60" s="1"/>
  <c r="V18" i="57"/>
  <c r="AB18" i="57" s="1"/>
  <c r="AZ17" i="63"/>
  <c r="BE17" i="63" s="1"/>
  <c r="AG18" i="57"/>
  <c r="AH18" i="57" s="1"/>
  <c r="AH17" i="63"/>
  <c r="AN17" i="63" s="1"/>
  <c r="BX18" i="57"/>
  <c r="CE32" i="39"/>
  <c r="AL34" i="39"/>
  <c r="CE34" i="39"/>
  <c r="AL31" i="39"/>
  <c r="CE31" i="39"/>
  <c r="AL33" i="39"/>
  <c r="CE33" i="39"/>
  <c r="BY18" i="57"/>
  <c r="J14" i="39"/>
  <c r="BX18" i="63"/>
  <c r="L14" i="39"/>
  <c r="L15" i="39" s="1"/>
  <c r="L16" i="39" s="1"/>
  <c r="BR14" i="39"/>
  <c r="R19" i="63"/>
  <c r="BL19" i="57"/>
  <c r="BP19" i="57" s="1"/>
  <c r="BP18" i="57"/>
  <c r="BT18" i="57" s="1"/>
  <c r="BZ19" i="57"/>
  <c r="AA19" i="57"/>
  <c r="AQ22" i="63"/>
  <c r="DB32" i="63"/>
  <c r="J21" i="63"/>
  <c r="AV20" i="63"/>
  <c r="AW20" i="63" s="1"/>
  <c r="AT20" i="63"/>
  <c r="AU20" i="63" s="1"/>
  <c r="BZ20" i="63" s="1"/>
  <c r="P20" i="63"/>
  <c r="Q20" i="63" s="1"/>
  <c r="BM20" i="63"/>
  <c r="BN20" i="63" s="1"/>
  <c r="W20" i="63"/>
  <c r="X20" i="63" s="1"/>
  <c r="O20" i="63"/>
  <c r="BK20" i="63"/>
  <c r="S20" i="63"/>
  <c r="BJ20" i="63"/>
  <c r="BY18" i="63"/>
  <c r="V18" i="63"/>
  <c r="AG18" i="63"/>
  <c r="U19" i="63"/>
  <c r="BH22" i="63"/>
  <c r="L22" i="63"/>
  <c r="M21" i="63"/>
  <c r="CG17" i="63"/>
  <c r="BL19" i="63"/>
  <c r="BH22" i="60"/>
  <c r="AQ22" i="60"/>
  <c r="L22" i="60"/>
  <c r="M21" i="60"/>
  <c r="AH17" i="60"/>
  <c r="AS17" i="60"/>
  <c r="AZ17" i="60" s="1"/>
  <c r="J21" i="60"/>
  <c r="BK20" i="60"/>
  <c r="AG18" i="60"/>
  <c r="BY18" i="60"/>
  <c r="BJ20" i="60"/>
  <c r="S20" i="60"/>
  <c r="DB32" i="57"/>
  <c r="J21" i="57"/>
  <c r="AV20" i="57"/>
  <c r="AW20" i="57" s="1"/>
  <c r="AT20" i="57"/>
  <c r="AU20" i="57" s="1"/>
  <c r="P20" i="57"/>
  <c r="Q20" i="57" s="1"/>
  <c r="O20" i="57"/>
  <c r="BK20" i="57"/>
  <c r="W20" i="57"/>
  <c r="X20" i="57" s="1"/>
  <c r="BM20" i="57"/>
  <c r="BN20" i="57" s="1"/>
  <c r="S20" i="57"/>
  <c r="BJ20" i="57"/>
  <c r="R19" i="57"/>
  <c r="U19" i="57"/>
  <c r="AQ21" i="57"/>
  <c r="L22" i="57"/>
  <c r="M21" i="57"/>
  <c r="BH21" i="57"/>
  <c r="BI14" i="39"/>
  <c r="BH14" i="34"/>
  <c r="AQ17" i="52"/>
  <c r="L17" i="52"/>
  <c r="BH17" i="52"/>
  <c r="DB22" i="52"/>
  <c r="J16" i="52"/>
  <c r="AE14" i="39"/>
  <c r="AE15" i="39" s="1"/>
  <c r="AE16" i="39" s="1"/>
  <c r="AE17" i="39" s="1"/>
  <c r="AE18" i="39" s="1"/>
  <c r="AE19" i="39" s="1"/>
  <c r="AE20" i="39" s="1"/>
  <c r="AE21" i="39" s="1"/>
  <c r="AE22" i="39" s="1"/>
  <c r="AE23" i="39" s="1"/>
  <c r="AE24" i="39" s="1"/>
  <c r="AE25" i="39" s="1"/>
  <c r="AE26" i="39" s="1"/>
  <c r="AE27" i="39" s="1"/>
  <c r="AE28" i="39" s="1"/>
  <c r="AE29" i="39" s="1"/>
  <c r="AE30" i="39" s="1"/>
  <c r="AE31" i="39" s="1"/>
  <c r="AE32" i="39" s="1"/>
  <c r="AE33" i="39" s="1"/>
  <c r="AE34" i="39" s="1"/>
  <c r="BH14" i="39"/>
  <c r="BH15" i="39" s="1"/>
  <c r="BH16" i="39" s="1"/>
  <c r="AQ16" i="39"/>
  <c r="M14" i="39"/>
  <c r="W14" i="39"/>
  <c r="Z14" i="39"/>
  <c r="BM14" i="39"/>
  <c r="Z14" i="34"/>
  <c r="AS14" i="34"/>
  <c r="AT14" i="34" s="1"/>
  <c r="P14" i="34"/>
  <c r="AU14" i="34"/>
  <c r="BL14" i="34"/>
  <c r="BJ14" i="34"/>
  <c r="J15" i="34"/>
  <c r="AP16" i="34"/>
  <c r="BG16" i="34"/>
  <c r="M14" i="34"/>
  <c r="W14" i="34"/>
  <c r="BQ14" i="34"/>
  <c r="L17" i="34"/>
  <c r="C19" i="33"/>
  <c r="N22" i="57" l="1"/>
  <c r="T22" i="57"/>
  <c r="T22" i="63"/>
  <c r="N22" i="63"/>
  <c r="DA22" i="34"/>
  <c r="T16" i="34"/>
  <c r="N16" i="34"/>
  <c r="N22" i="60"/>
  <c r="T22" i="60"/>
  <c r="DB21" i="39"/>
  <c r="N15" i="39"/>
  <c r="T15" i="39"/>
  <c r="AV20" i="60"/>
  <c r="AW20" i="60" s="1"/>
  <c r="N21" i="60"/>
  <c r="T21" i="60"/>
  <c r="R19" i="60"/>
  <c r="BX19" i="60" s="1"/>
  <c r="O20" i="60"/>
  <c r="BM20" i="60"/>
  <c r="BN20" i="60" s="1"/>
  <c r="AT20" i="60"/>
  <c r="AU20" i="60" s="1"/>
  <c r="BZ20" i="60" s="1"/>
  <c r="P20" i="60"/>
  <c r="Q20" i="60" s="1"/>
  <c r="DB32" i="60"/>
  <c r="W20" i="60"/>
  <c r="X20" i="60" s="1"/>
  <c r="AA20" i="60" s="1"/>
  <c r="BM14" i="52"/>
  <c r="BI14" i="52"/>
  <c r="BR14" i="52"/>
  <c r="Z14" i="52"/>
  <c r="T14" i="52"/>
  <c r="N14" i="52"/>
  <c r="AV14" i="39"/>
  <c r="AW14" i="39" s="1"/>
  <c r="AV14" i="52"/>
  <c r="BK14" i="39"/>
  <c r="BK14" i="52" s="1"/>
  <c r="P14" i="39"/>
  <c r="Q14" i="39" s="1"/>
  <c r="M14" i="52"/>
  <c r="J15" i="39"/>
  <c r="BP19" i="63"/>
  <c r="BT19" i="63" s="1"/>
  <c r="AF19" i="63"/>
  <c r="AR19" i="63" s="1"/>
  <c r="AA20" i="63"/>
  <c r="BL20" i="60"/>
  <c r="BP20" i="60" s="1"/>
  <c r="BT20" i="60" s="1"/>
  <c r="AT14" i="39"/>
  <c r="AU14" i="39" s="1"/>
  <c r="BZ14" i="39" s="1"/>
  <c r="CA18" i="60"/>
  <c r="CG18" i="60" s="1"/>
  <c r="CA18" i="57"/>
  <c r="CG18" i="57" s="1"/>
  <c r="AF18" i="60"/>
  <c r="AR18" i="60" s="1"/>
  <c r="V18" i="60"/>
  <c r="AB18" i="60" s="1"/>
  <c r="BM14" i="34"/>
  <c r="BB14" i="34"/>
  <c r="BY14" i="34"/>
  <c r="BY19" i="60"/>
  <c r="AS18" i="57"/>
  <c r="AZ18" i="57" s="1"/>
  <c r="BE18" i="57" s="1"/>
  <c r="CA18" i="63"/>
  <c r="CG18" i="63" s="1"/>
  <c r="BX19" i="63"/>
  <c r="AF19" i="60"/>
  <c r="AR19" i="60" s="1"/>
  <c r="AV14" i="34"/>
  <c r="BN14" i="39"/>
  <c r="P15" i="34"/>
  <c r="U20" i="60"/>
  <c r="AG20" i="60" s="1"/>
  <c r="BJ15" i="34"/>
  <c r="BZ20" i="57"/>
  <c r="U20" i="57"/>
  <c r="AG20" i="57" s="1"/>
  <c r="AA20" i="57"/>
  <c r="R20" i="63"/>
  <c r="L23" i="63"/>
  <c r="M22" i="63"/>
  <c r="BH23" i="63"/>
  <c r="BY19" i="63"/>
  <c r="V19" i="63"/>
  <c r="AB19" i="63" s="1"/>
  <c r="AG19" i="63"/>
  <c r="AH18" i="63"/>
  <c r="AS18" i="63"/>
  <c r="AZ18" i="63" s="1"/>
  <c r="AQ23" i="63"/>
  <c r="U20" i="63"/>
  <c r="BJ21" i="63"/>
  <c r="S21" i="63"/>
  <c r="AB18" i="63"/>
  <c r="BL20" i="63"/>
  <c r="DB35" i="63"/>
  <c r="J22" i="63"/>
  <c r="AV21" i="63"/>
  <c r="AW21" i="63" s="1"/>
  <c r="AT21" i="63"/>
  <c r="AU21" i="63" s="1"/>
  <c r="BZ21" i="63" s="1"/>
  <c r="P21" i="63"/>
  <c r="Q21" i="63" s="1"/>
  <c r="BM21" i="63"/>
  <c r="BN21" i="63" s="1"/>
  <c r="BK21" i="63"/>
  <c r="W21" i="63"/>
  <c r="X21" i="63" s="1"/>
  <c r="O21" i="63"/>
  <c r="BE17" i="60"/>
  <c r="DB35" i="60"/>
  <c r="J22" i="60"/>
  <c r="AV21" i="60"/>
  <c r="AW21" i="60" s="1"/>
  <c r="AT21" i="60"/>
  <c r="AU21" i="60" s="1"/>
  <c r="BZ21" i="60" s="1"/>
  <c r="P21" i="60"/>
  <c r="Q21" i="60" s="1"/>
  <c r="BK21" i="60"/>
  <c r="W21" i="60"/>
  <c r="X21" i="60" s="1"/>
  <c r="AA21" i="60" s="1"/>
  <c r="BM21" i="60"/>
  <c r="BN21" i="60" s="1"/>
  <c r="O21" i="60"/>
  <c r="AN17" i="60"/>
  <c r="L23" i="60"/>
  <c r="M22" i="60"/>
  <c r="AS18" i="60"/>
  <c r="S21" i="60"/>
  <c r="BJ21" i="60"/>
  <c r="AQ23" i="60"/>
  <c r="AS19" i="60"/>
  <c r="BH23" i="60"/>
  <c r="BJ21" i="57"/>
  <c r="S21" i="57"/>
  <c r="AQ22" i="57"/>
  <c r="AF19" i="57"/>
  <c r="AR19" i="57" s="1"/>
  <c r="BX19" i="57"/>
  <c r="DB35" i="57"/>
  <c r="J22" i="57"/>
  <c r="AV21" i="57"/>
  <c r="AW21" i="57" s="1"/>
  <c r="AT21" i="57"/>
  <c r="AU21" i="57" s="1"/>
  <c r="P21" i="57"/>
  <c r="Q21" i="57" s="1"/>
  <c r="BM21" i="57"/>
  <c r="O21" i="57"/>
  <c r="W21" i="57"/>
  <c r="X21" i="57" s="1"/>
  <c r="BK21" i="57"/>
  <c r="AN18" i="57"/>
  <c r="BL20" i="57"/>
  <c r="BT19" i="57"/>
  <c r="BH22" i="57"/>
  <c r="BN21" i="57"/>
  <c r="L23" i="57"/>
  <c r="M22" i="57"/>
  <c r="BY19" i="57"/>
  <c r="V19" i="57"/>
  <c r="AG19" i="57"/>
  <c r="R20" i="57"/>
  <c r="AS15" i="34"/>
  <c r="AT15" i="34" s="1"/>
  <c r="J16" i="34"/>
  <c r="BH18" i="52"/>
  <c r="AQ18" i="52"/>
  <c r="DB23" i="52"/>
  <c r="J17" i="52"/>
  <c r="L18" i="52"/>
  <c r="X14" i="39"/>
  <c r="DB22" i="39"/>
  <c r="AT15" i="39"/>
  <c r="AU15" i="39" s="1"/>
  <c r="BZ15" i="39" s="1"/>
  <c r="BJ14" i="39"/>
  <c r="S14" i="39"/>
  <c r="U14" i="39" s="1"/>
  <c r="BR16" i="39"/>
  <c r="L17" i="39"/>
  <c r="M16" i="39"/>
  <c r="BC14" i="39"/>
  <c r="CD14" i="39" s="1"/>
  <c r="AK14" i="39"/>
  <c r="BH17" i="39"/>
  <c r="AQ17" i="39"/>
  <c r="M16" i="34"/>
  <c r="AJ14" i="34"/>
  <c r="X14" i="34"/>
  <c r="W15" i="34"/>
  <c r="AU15" i="34"/>
  <c r="BL15" i="34"/>
  <c r="M17" i="34"/>
  <c r="L18" i="34"/>
  <c r="BI14" i="34"/>
  <c r="S14" i="34"/>
  <c r="Q14" i="34"/>
  <c r="O14" i="34"/>
  <c r="BG17" i="34"/>
  <c r="AP17" i="34"/>
  <c r="BQ16" i="34"/>
  <c r="BR16" i="52" s="1"/>
  <c r="M15" i="34"/>
  <c r="AU16" i="34"/>
  <c r="CA19" i="60" l="1"/>
  <c r="CG19" i="60" s="1"/>
  <c r="J17" i="34"/>
  <c r="T17" i="34"/>
  <c r="N17" i="34"/>
  <c r="T23" i="57"/>
  <c r="N23" i="57"/>
  <c r="BK15" i="39"/>
  <c r="BK15" i="52" s="1"/>
  <c r="T16" i="39"/>
  <c r="N16" i="39"/>
  <c r="T23" i="60"/>
  <c r="N23" i="60"/>
  <c r="V19" i="60"/>
  <c r="AB19" i="60" s="1"/>
  <c r="T23" i="63"/>
  <c r="N23" i="63"/>
  <c r="R20" i="60"/>
  <c r="BX20" i="60" s="1"/>
  <c r="T15" i="52"/>
  <c r="M16" i="52"/>
  <c r="BC14" i="52"/>
  <c r="O14" i="39"/>
  <c r="O14" i="52" s="1"/>
  <c r="S14" i="52"/>
  <c r="BM15" i="39"/>
  <c r="BN15" i="39" s="1"/>
  <c r="N15" i="52"/>
  <c r="AV15" i="39"/>
  <c r="AU15" i="52"/>
  <c r="AW14" i="52"/>
  <c r="AU14" i="52"/>
  <c r="P14" i="52"/>
  <c r="Q14" i="52"/>
  <c r="BJ14" i="52"/>
  <c r="AV15" i="52"/>
  <c r="X14" i="52"/>
  <c r="P15" i="39"/>
  <c r="P15" i="52" s="1"/>
  <c r="J16" i="39"/>
  <c r="W15" i="39"/>
  <c r="BX20" i="63"/>
  <c r="BP20" i="63"/>
  <c r="BT20" i="63" s="1"/>
  <c r="AA21" i="63"/>
  <c r="CA19" i="63"/>
  <c r="CG19" i="63" s="1"/>
  <c r="AH18" i="60"/>
  <c r="AN18" i="60" s="1"/>
  <c r="AZ18" i="60"/>
  <c r="BE18" i="60" s="1"/>
  <c r="BY15" i="34"/>
  <c r="P16" i="34"/>
  <c r="BJ16" i="34"/>
  <c r="W16" i="34"/>
  <c r="X16" i="34" s="1"/>
  <c r="BL16" i="34"/>
  <c r="U14" i="34"/>
  <c r="U14" i="52" s="1"/>
  <c r="BM15" i="34"/>
  <c r="CC14" i="34"/>
  <c r="DA23" i="34"/>
  <c r="AS16" i="34"/>
  <c r="AT16" i="34" s="1"/>
  <c r="BY20" i="60"/>
  <c r="BY20" i="57"/>
  <c r="U21" i="60"/>
  <c r="AG21" i="60" s="1"/>
  <c r="AZ19" i="60"/>
  <c r="BE19" i="60" s="1"/>
  <c r="AH19" i="60"/>
  <c r="AN19" i="60" s="1"/>
  <c r="BI16" i="34"/>
  <c r="BL21" i="60"/>
  <c r="BP21" i="60" s="1"/>
  <c r="BT21" i="60" s="1"/>
  <c r="U21" i="63"/>
  <c r="AF20" i="63"/>
  <c r="AR20" i="63" s="1"/>
  <c r="AA21" i="57"/>
  <c r="BP20" i="57"/>
  <c r="BT20" i="57" s="1"/>
  <c r="BZ21" i="57"/>
  <c r="DB37" i="63"/>
  <c r="J23" i="63"/>
  <c r="AV22" i="63"/>
  <c r="AW22" i="63" s="1"/>
  <c r="AT22" i="63"/>
  <c r="AU22" i="63" s="1"/>
  <c r="BZ22" i="63" s="1"/>
  <c r="P22" i="63"/>
  <c r="Q22" i="63" s="1"/>
  <c r="BK22" i="63"/>
  <c r="BM22" i="63"/>
  <c r="BN22" i="63" s="1"/>
  <c r="W22" i="63"/>
  <c r="X22" i="63" s="1"/>
  <c r="O22" i="63"/>
  <c r="AG20" i="63"/>
  <c r="BY20" i="63"/>
  <c r="V20" i="63"/>
  <c r="AQ24" i="63"/>
  <c r="BE18" i="63"/>
  <c r="AH19" i="63"/>
  <c r="AN19" i="63" s="1"/>
  <c r="AS19" i="63"/>
  <c r="AZ19" i="63" s="1"/>
  <c r="BE19" i="63" s="1"/>
  <c r="BH24" i="63"/>
  <c r="L24" i="63"/>
  <c r="M23" i="63"/>
  <c r="BL21" i="63"/>
  <c r="AN18" i="63"/>
  <c r="S22" i="63"/>
  <c r="BJ22" i="63"/>
  <c r="R21" i="63"/>
  <c r="BH24" i="60"/>
  <c r="AS20" i="60"/>
  <c r="BJ22" i="60"/>
  <c r="S22" i="60"/>
  <c r="DB37" i="60"/>
  <c r="AV22" i="60"/>
  <c r="AW22" i="60" s="1"/>
  <c r="AT22" i="60"/>
  <c r="AU22" i="60" s="1"/>
  <c r="BZ22" i="60" s="1"/>
  <c r="P22" i="60"/>
  <c r="Q22" i="60" s="1"/>
  <c r="J23" i="60"/>
  <c r="W22" i="60"/>
  <c r="X22" i="60" s="1"/>
  <c r="AA22" i="60" s="1"/>
  <c r="BM22" i="60"/>
  <c r="BN22" i="60" s="1"/>
  <c r="BK22" i="60"/>
  <c r="O22" i="60"/>
  <c r="AQ24" i="60"/>
  <c r="L24" i="60"/>
  <c r="M23" i="60"/>
  <c r="R21" i="60"/>
  <c r="R21" i="57"/>
  <c r="AH19" i="57"/>
  <c r="AS19" i="57"/>
  <c r="AZ19" i="57" s="1"/>
  <c r="L24" i="57"/>
  <c r="M23" i="57"/>
  <c r="BH23" i="57"/>
  <c r="DB37" i="57"/>
  <c r="J23" i="57"/>
  <c r="AV22" i="57"/>
  <c r="AW22" i="57" s="1"/>
  <c r="AT22" i="57"/>
  <c r="AU22" i="57" s="1"/>
  <c r="P22" i="57"/>
  <c r="Q22" i="57" s="1"/>
  <c r="O22" i="57"/>
  <c r="W22" i="57"/>
  <c r="X22" i="57" s="1"/>
  <c r="BM22" i="57"/>
  <c r="BN22" i="57" s="1"/>
  <c r="BK22" i="57"/>
  <c r="CA19" i="57"/>
  <c r="U21" i="57"/>
  <c r="BX20" i="57"/>
  <c r="AF20" i="57"/>
  <c r="AR20" i="57" s="1"/>
  <c r="AS20" i="57"/>
  <c r="AB19" i="57"/>
  <c r="S22" i="57"/>
  <c r="BJ22" i="57"/>
  <c r="AQ23" i="57"/>
  <c r="BL21" i="57"/>
  <c r="V20" i="57"/>
  <c r="AB20" i="57" s="1"/>
  <c r="BH19" i="52"/>
  <c r="L19" i="52"/>
  <c r="DB24" i="52"/>
  <c r="J18" i="52"/>
  <c r="AQ19" i="52"/>
  <c r="M15" i="39"/>
  <c r="Q15" i="39" s="1"/>
  <c r="BR15" i="39"/>
  <c r="BR36" i="39" s="1"/>
  <c r="BQ15" i="34"/>
  <c r="BR15" i="52" s="1"/>
  <c r="AQ18" i="39"/>
  <c r="BH18" i="39"/>
  <c r="BJ16" i="39"/>
  <c r="S16" i="39"/>
  <c r="BL14" i="39"/>
  <c r="BP14" i="39" s="1"/>
  <c r="L18" i="39"/>
  <c r="M17" i="39"/>
  <c r="M17" i="52" s="1"/>
  <c r="BY14" i="39"/>
  <c r="AG14" i="39"/>
  <c r="DB23" i="39"/>
  <c r="AV16" i="39"/>
  <c r="AW16" i="39" s="1"/>
  <c r="P16" i="39"/>
  <c r="Q16" i="39" s="1"/>
  <c r="O16" i="39"/>
  <c r="BM16" i="39"/>
  <c r="BN16" i="39" s="1"/>
  <c r="BK16" i="39"/>
  <c r="O16" i="34"/>
  <c r="AV16" i="34"/>
  <c r="S16" i="34"/>
  <c r="DA24" i="34"/>
  <c r="J18" i="34"/>
  <c r="BL17" i="34"/>
  <c r="BJ17" i="34"/>
  <c r="W17" i="34"/>
  <c r="X17" i="34" s="1"/>
  <c r="AU17" i="34"/>
  <c r="AS17" i="34"/>
  <c r="AT17" i="34" s="1"/>
  <c r="P17" i="34"/>
  <c r="S17" i="34"/>
  <c r="BI17" i="34"/>
  <c r="AV15" i="34"/>
  <c r="R14" i="34"/>
  <c r="BI15" i="34"/>
  <c r="S15" i="34"/>
  <c r="O15" i="34"/>
  <c r="Q15" i="34"/>
  <c r="AP18" i="34"/>
  <c r="BG18" i="34"/>
  <c r="BK14" i="34"/>
  <c r="M18" i="34"/>
  <c r="L19" i="34"/>
  <c r="X15" i="34"/>
  <c r="T24" i="57" l="1"/>
  <c r="N24" i="57"/>
  <c r="AF20" i="60"/>
  <c r="AR20" i="60" s="1"/>
  <c r="N24" i="63"/>
  <c r="T24" i="63"/>
  <c r="AT16" i="39"/>
  <c r="AU16" i="39" s="1"/>
  <c r="BZ16" i="39" s="1"/>
  <c r="T17" i="39"/>
  <c r="N17" i="39"/>
  <c r="N18" i="34"/>
  <c r="T18" i="34"/>
  <c r="N19" i="34"/>
  <c r="T19" i="34"/>
  <c r="BQ36" i="34"/>
  <c r="T24" i="60"/>
  <c r="N24" i="60"/>
  <c r="V20" i="60"/>
  <c r="AB20" i="60" s="1"/>
  <c r="W16" i="39"/>
  <c r="X16" i="39" s="1"/>
  <c r="J17" i="39"/>
  <c r="AV17" i="39" s="1"/>
  <c r="AW17" i="39" s="1"/>
  <c r="P16" i="52"/>
  <c r="BM16" i="52"/>
  <c r="Q15" i="52"/>
  <c r="R14" i="39"/>
  <c r="BX14" i="39" s="1"/>
  <c r="CA14" i="39" s="1"/>
  <c r="O16" i="52"/>
  <c r="AW16" i="52"/>
  <c r="BJ16" i="52"/>
  <c r="CA20" i="63"/>
  <c r="CG20" i="63" s="1"/>
  <c r="BN15" i="52"/>
  <c r="X16" i="52"/>
  <c r="T16" i="52"/>
  <c r="BM15" i="52"/>
  <c r="BL14" i="52"/>
  <c r="S16" i="52"/>
  <c r="BK16" i="52"/>
  <c r="AV16" i="52"/>
  <c r="N16" i="52"/>
  <c r="M15" i="52"/>
  <c r="BP21" i="63"/>
  <c r="BT21" i="63" s="1"/>
  <c r="AA22" i="63"/>
  <c r="BY21" i="63"/>
  <c r="AF14" i="34"/>
  <c r="AR14" i="34" s="1"/>
  <c r="BK16" i="34"/>
  <c r="Q16" i="34"/>
  <c r="Q16" i="52" s="1"/>
  <c r="CA20" i="60"/>
  <c r="CG20" i="60" s="1"/>
  <c r="AH20" i="57"/>
  <c r="AN20" i="57" s="1"/>
  <c r="Q17" i="34"/>
  <c r="AA17" i="34"/>
  <c r="BO14" i="34"/>
  <c r="BS14" i="34" s="1"/>
  <c r="V14" i="34"/>
  <c r="U15" i="34"/>
  <c r="BX14" i="34"/>
  <c r="BY17" i="34"/>
  <c r="BM17" i="34"/>
  <c r="U16" i="34"/>
  <c r="BY16" i="34"/>
  <c r="BM16" i="34"/>
  <c r="BN16" i="52" s="1"/>
  <c r="BK15" i="34"/>
  <c r="O17" i="34"/>
  <c r="AV17" i="34"/>
  <c r="BQ37" i="34"/>
  <c r="CA20" i="57"/>
  <c r="CG20" i="57" s="1"/>
  <c r="BR37" i="39"/>
  <c r="BY21" i="60"/>
  <c r="V21" i="60"/>
  <c r="AB21" i="60" s="1"/>
  <c r="O15" i="39"/>
  <c r="O15" i="52" s="1"/>
  <c r="AG21" i="63"/>
  <c r="AS21" i="63" s="1"/>
  <c r="U22" i="63"/>
  <c r="AG22" i="63" s="1"/>
  <c r="R22" i="63"/>
  <c r="AZ20" i="60"/>
  <c r="BE20" i="60" s="1"/>
  <c r="U17" i="34"/>
  <c r="BP21" i="57"/>
  <c r="BT21" i="57" s="1"/>
  <c r="BZ22" i="57"/>
  <c r="BL22" i="57"/>
  <c r="BP22" i="57" s="1"/>
  <c r="BT22" i="57" s="1"/>
  <c r="U22" i="57"/>
  <c r="AG22" i="57" s="1"/>
  <c r="AA22" i="57"/>
  <c r="AF21" i="63"/>
  <c r="AR21" i="63" s="1"/>
  <c r="BX21" i="63"/>
  <c r="BL22" i="63"/>
  <c r="L25" i="63"/>
  <c r="M24" i="63"/>
  <c r="BH25" i="63"/>
  <c r="AB20" i="63"/>
  <c r="AS20" i="63"/>
  <c r="AZ20" i="63" s="1"/>
  <c r="BE20" i="63" s="1"/>
  <c r="AH20" i="63"/>
  <c r="V21" i="63"/>
  <c r="AB21" i="63" s="1"/>
  <c r="BJ23" i="63"/>
  <c r="S23" i="63"/>
  <c r="AQ25" i="63"/>
  <c r="DB40" i="63"/>
  <c r="J24" i="63"/>
  <c r="AV23" i="63"/>
  <c r="AW23" i="63" s="1"/>
  <c r="AT23" i="63"/>
  <c r="AU23" i="63" s="1"/>
  <c r="BZ23" i="63" s="1"/>
  <c r="P23" i="63"/>
  <c r="Q23" i="63" s="1"/>
  <c r="BK23" i="63"/>
  <c r="W23" i="63"/>
  <c r="X23" i="63" s="1"/>
  <c r="O23" i="63"/>
  <c r="BM23" i="63"/>
  <c r="BN23" i="63" s="1"/>
  <c r="BX21" i="60"/>
  <c r="AF21" i="60"/>
  <c r="AR21" i="60" s="1"/>
  <c r="M24" i="60"/>
  <c r="L25" i="60"/>
  <c r="DB40" i="60"/>
  <c r="J24" i="60"/>
  <c r="AV23" i="60"/>
  <c r="AW23" i="60" s="1"/>
  <c r="AT23" i="60"/>
  <c r="AU23" i="60" s="1"/>
  <c r="BZ23" i="60" s="1"/>
  <c r="P23" i="60"/>
  <c r="Q23" i="60" s="1"/>
  <c r="BK23" i="60"/>
  <c r="W23" i="60"/>
  <c r="X23" i="60" s="1"/>
  <c r="AA23" i="60" s="1"/>
  <c r="BM23" i="60"/>
  <c r="BN23" i="60" s="1"/>
  <c r="O23" i="60"/>
  <c r="BL22" i="60"/>
  <c r="BP22" i="60" s="1"/>
  <c r="AH20" i="60"/>
  <c r="BJ23" i="60"/>
  <c r="S23" i="60"/>
  <c r="AS21" i="60"/>
  <c r="AQ25" i="60"/>
  <c r="BH25" i="60"/>
  <c r="R22" i="60"/>
  <c r="U22" i="60"/>
  <c r="BE19" i="57"/>
  <c r="AQ24" i="57"/>
  <c r="BY21" i="57"/>
  <c r="V21" i="57"/>
  <c r="AB21" i="57" s="1"/>
  <c r="AG21" i="57"/>
  <c r="DB40" i="57"/>
  <c r="J24" i="57"/>
  <c r="AV23" i="57"/>
  <c r="AW23" i="57" s="1"/>
  <c r="AT23" i="57"/>
  <c r="AU23" i="57" s="1"/>
  <c r="P23" i="57"/>
  <c r="W23" i="57"/>
  <c r="X23" i="57" s="1"/>
  <c r="BK23" i="57"/>
  <c r="O23" i="57"/>
  <c r="BM23" i="57"/>
  <c r="BN23" i="57" s="1"/>
  <c r="BJ23" i="57"/>
  <c r="S23" i="57"/>
  <c r="Q23" i="57"/>
  <c r="AF21" i="57"/>
  <c r="AR21" i="57" s="1"/>
  <c r="BX21" i="57"/>
  <c r="AZ20" i="57"/>
  <c r="BE20" i="57" s="1"/>
  <c r="CG19" i="57"/>
  <c r="BH24" i="57"/>
  <c r="L25" i="57"/>
  <c r="M24" i="57"/>
  <c r="AN19" i="57"/>
  <c r="R22" i="57"/>
  <c r="BK17" i="34"/>
  <c r="AQ20" i="52"/>
  <c r="DB30" i="52"/>
  <c r="J19" i="52"/>
  <c r="L20" i="52"/>
  <c r="BH20" i="52"/>
  <c r="AW15" i="39"/>
  <c r="AW15" i="52" s="1"/>
  <c r="S15" i="39"/>
  <c r="U15" i="39" s="1"/>
  <c r="BJ15" i="39"/>
  <c r="BL15" i="39" s="1"/>
  <c r="BI15" i="39"/>
  <c r="Z15" i="39"/>
  <c r="BI16" i="39"/>
  <c r="Z16" i="39"/>
  <c r="X15" i="39"/>
  <c r="X15" i="52" s="1"/>
  <c r="Z16" i="34"/>
  <c r="Z16" i="52" s="1"/>
  <c r="BH16" i="34"/>
  <c r="BI16" i="52" s="1"/>
  <c r="Z15" i="34"/>
  <c r="Z15" i="52" s="1"/>
  <c r="BH15" i="34"/>
  <c r="BI15" i="52" s="1"/>
  <c r="R16" i="39"/>
  <c r="BX16" i="39" s="1"/>
  <c r="AS14" i="39"/>
  <c r="M18" i="39"/>
  <c r="M18" i="52" s="1"/>
  <c r="L19" i="39"/>
  <c r="BT14" i="39"/>
  <c r="U16" i="39"/>
  <c r="J18" i="39"/>
  <c r="P17" i="39"/>
  <c r="P17" i="52" s="1"/>
  <c r="W17" i="39"/>
  <c r="X17" i="39" s="1"/>
  <c r="AA17" i="39" s="1"/>
  <c r="BJ17" i="39"/>
  <c r="BJ17" i="52" s="1"/>
  <c r="S17" i="39"/>
  <c r="S17" i="52" s="1"/>
  <c r="Q17" i="39"/>
  <c r="BH19" i="39"/>
  <c r="AQ19" i="39"/>
  <c r="BL16" i="39"/>
  <c r="S18" i="34"/>
  <c r="BI18" i="34"/>
  <c r="BG19" i="34"/>
  <c r="AP19" i="34"/>
  <c r="BW14" i="34"/>
  <c r="AE14" i="34"/>
  <c r="AQ14" i="34" s="1"/>
  <c r="DA30" i="34"/>
  <c r="J19" i="34"/>
  <c r="BL18" i="34"/>
  <c r="BJ18" i="34"/>
  <c r="W18" i="34"/>
  <c r="X18" i="34" s="1"/>
  <c r="AU18" i="34"/>
  <c r="AS18" i="34"/>
  <c r="AT18" i="34" s="1"/>
  <c r="P18" i="34"/>
  <c r="R15" i="34"/>
  <c r="M19" i="34"/>
  <c r="L20" i="34"/>
  <c r="BM17" i="39" l="1"/>
  <c r="BN17" i="39" s="1"/>
  <c r="N25" i="60"/>
  <c r="T25" i="60"/>
  <c r="N19" i="39"/>
  <c r="T19" i="39"/>
  <c r="N25" i="57"/>
  <c r="T25" i="57"/>
  <c r="N25" i="63"/>
  <c r="T25" i="63"/>
  <c r="AT17" i="39"/>
  <c r="AU17" i="39" s="1"/>
  <c r="BZ17" i="39" s="1"/>
  <c r="T18" i="39"/>
  <c r="T18" i="52" s="1"/>
  <c r="N18" i="39"/>
  <c r="N20" i="34"/>
  <c r="T20" i="34"/>
  <c r="DB24" i="39"/>
  <c r="AU16" i="52"/>
  <c r="O17" i="39"/>
  <c r="T17" i="52"/>
  <c r="BK17" i="39"/>
  <c r="BK17" i="52" s="1"/>
  <c r="V14" i="39"/>
  <c r="AF14" i="39"/>
  <c r="AR14" i="39" s="1"/>
  <c r="AZ14" i="39" s="1"/>
  <c r="AU17" i="52"/>
  <c r="BJ15" i="52"/>
  <c r="R14" i="52"/>
  <c r="BL15" i="52"/>
  <c r="U16" i="52"/>
  <c r="O17" i="52"/>
  <c r="BL16" i="52"/>
  <c r="CA21" i="63"/>
  <c r="CG21" i="63" s="1"/>
  <c r="AW17" i="52"/>
  <c r="U15" i="52"/>
  <c r="Q17" i="52"/>
  <c r="X17" i="52"/>
  <c r="AA17" i="52" s="1"/>
  <c r="AV17" i="52"/>
  <c r="BN17" i="52"/>
  <c r="N17" i="52"/>
  <c r="S15" i="52"/>
  <c r="BM17" i="52"/>
  <c r="AF22" i="63"/>
  <c r="AR22" i="63" s="1"/>
  <c r="AA23" i="63"/>
  <c r="BP22" i="63"/>
  <c r="BT22" i="63" s="1"/>
  <c r="BY22" i="63"/>
  <c r="AF16" i="34"/>
  <c r="AR16" i="34" s="1"/>
  <c r="AF15" i="34"/>
  <c r="AR15" i="34" s="1"/>
  <c r="R16" i="34"/>
  <c r="R16" i="52" s="1"/>
  <c r="U17" i="39"/>
  <c r="BY17" i="39" s="1"/>
  <c r="BL23" i="60"/>
  <c r="BP23" i="60" s="1"/>
  <c r="BT23" i="60" s="1"/>
  <c r="R17" i="34"/>
  <c r="CA21" i="60"/>
  <c r="CG21" i="60" s="1"/>
  <c r="R15" i="39"/>
  <c r="AF15" i="39" s="1"/>
  <c r="AR15" i="39" s="1"/>
  <c r="V15" i="34"/>
  <c r="BY18" i="34"/>
  <c r="BM18" i="34"/>
  <c r="O18" i="34"/>
  <c r="AV18" i="34"/>
  <c r="BZ14" i="34"/>
  <c r="BO15" i="34"/>
  <c r="BS15" i="34" s="1"/>
  <c r="Q18" i="34"/>
  <c r="AA18" i="34"/>
  <c r="BX15" i="34"/>
  <c r="BO16" i="34"/>
  <c r="BS16" i="34" s="1"/>
  <c r="BO17" i="34"/>
  <c r="BS17" i="34" s="1"/>
  <c r="AF17" i="34"/>
  <c r="AR17" i="34" s="1"/>
  <c r="BX16" i="34"/>
  <c r="CA21" i="57"/>
  <c r="CG21" i="57" s="1"/>
  <c r="BY22" i="57"/>
  <c r="BX17" i="34"/>
  <c r="BX22" i="63"/>
  <c r="V22" i="63"/>
  <c r="AB22" i="63" s="1"/>
  <c r="AH21" i="63"/>
  <c r="AN21" i="63" s="1"/>
  <c r="AH21" i="60"/>
  <c r="AN21" i="60" s="1"/>
  <c r="BL23" i="57"/>
  <c r="BP23" i="57" s="1"/>
  <c r="BT23" i="57" s="1"/>
  <c r="V22" i="57"/>
  <c r="AB22" i="57" s="1"/>
  <c r="U23" i="57"/>
  <c r="AG23" i="57" s="1"/>
  <c r="AA23" i="57"/>
  <c r="BZ23" i="57"/>
  <c r="R23" i="63"/>
  <c r="AQ26" i="63"/>
  <c r="BH26" i="63"/>
  <c r="L26" i="63"/>
  <c r="M25" i="63"/>
  <c r="BL23" i="63"/>
  <c r="AZ21" i="63"/>
  <c r="DB41" i="63"/>
  <c r="J25" i="63"/>
  <c r="AV24" i="63"/>
  <c r="AW24" i="63" s="1"/>
  <c r="AT24" i="63"/>
  <c r="AU24" i="63" s="1"/>
  <c r="BZ24" i="63" s="1"/>
  <c r="P24" i="63"/>
  <c r="Q24" i="63" s="1"/>
  <c r="BM24" i="63"/>
  <c r="BN24" i="63" s="1"/>
  <c r="W24" i="63"/>
  <c r="X24" i="63" s="1"/>
  <c r="BK24" i="63"/>
  <c r="O24" i="63"/>
  <c r="AS22" i="63"/>
  <c r="AN20" i="63"/>
  <c r="S24" i="63"/>
  <c r="BJ24" i="63"/>
  <c r="U23" i="63"/>
  <c r="BY22" i="60"/>
  <c r="V22" i="60"/>
  <c r="AG22" i="60"/>
  <c r="BT22" i="60"/>
  <c r="DB41" i="60"/>
  <c r="J25" i="60"/>
  <c r="AV24" i="60"/>
  <c r="AW24" i="60" s="1"/>
  <c r="AT24" i="60"/>
  <c r="AU24" i="60" s="1"/>
  <c r="BZ24" i="60" s="1"/>
  <c r="P24" i="60"/>
  <c r="Q24" i="60" s="1"/>
  <c r="W24" i="60"/>
  <c r="X24" i="60" s="1"/>
  <c r="AA24" i="60" s="1"/>
  <c r="BM24" i="60"/>
  <c r="BN24" i="60" s="1"/>
  <c r="BK24" i="60"/>
  <c r="O24" i="60"/>
  <c r="L26" i="60"/>
  <c r="M25" i="60"/>
  <c r="R23" i="60"/>
  <c r="U23" i="60"/>
  <c r="AZ21" i="60"/>
  <c r="BE21" i="60" s="1"/>
  <c r="AF22" i="60"/>
  <c r="AR22" i="60" s="1"/>
  <c r="BX22" i="60"/>
  <c r="BH26" i="60"/>
  <c r="AQ26" i="60"/>
  <c r="AN20" i="60"/>
  <c r="S24" i="60"/>
  <c r="BJ24" i="60"/>
  <c r="R23" i="57"/>
  <c r="BX23" i="57" s="1"/>
  <c r="L26" i="57"/>
  <c r="M25" i="57"/>
  <c r="BH25" i="57"/>
  <c r="AS22" i="57"/>
  <c r="BX22" i="57"/>
  <c r="AF22" i="57"/>
  <c r="AR22" i="57" s="1"/>
  <c r="S24" i="57"/>
  <c r="BJ24" i="57"/>
  <c r="DB41" i="57"/>
  <c r="J25" i="57"/>
  <c r="AV24" i="57"/>
  <c r="AW24" i="57" s="1"/>
  <c r="AT24" i="57"/>
  <c r="AU24" i="57" s="1"/>
  <c r="P24" i="57"/>
  <c r="Q24" i="57" s="1"/>
  <c r="O24" i="57"/>
  <c r="W24" i="57"/>
  <c r="X24" i="57" s="1"/>
  <c r="BM24" i="57"/>
  <c r="BN24" i="57" s="1"/>
  <c r="BK24" i="57"/>
  <c r="AH21" i="57"/>
  <c r="AS21" i="57"/>
  <c r="AZ21" i="57" s="1"/>
  <c r="AQ25" i="57"/>
  <c r="AF16" i="39"/>
  <c r="AR16" i="39" s="1"/>
  <c r="AK16" i="52"/>
  <c r="BH21" i="52"/>
  <c r="L21" i="52"/>
  <c r="DB31" i="52"/>
  <c r="J20" i="52"/>
  <c r="AQ21" i="52"/>
  <c r="AK15" i="39"/>
  <c r="BC15" i="39"/>
  <c r="CD15" i="39" s="1"/>
  <c r="AK16" i="39"/>
  <c r="BC16" i="39"/>
  <c r="AG15" i="39"/>
  <c r="AS15" i="39" s="1"/>
  <c r="BY15" i="39"/>
  <c r="BP16" i="39"/>
  <c r="BT16" i="39" s="1"/>
  <c r="BP15" i="39"/>
  <c r="BT15" i="39" s="1"/>
  <c r="AJ15" i="34"/>
  <c r="BB15" i="34"/>
  <c r="BC15" i="52" s="1"/>
  <c r="AJ16" i="34"/>
  <c r="BB16" i="34"/>
  <c r="BC16" i="52" s="1"/>
  <c r="R17" i="39"/>
  <c r="AF17" i="39" s="1"/>
  <c r="AR17" i="39" s="1"/>
  <c r="DB30" i="39"/>
  <c r="J19" i="39"/>
  <c r="AV18" i="39"/>
  <c r="AW18" i="39" s="1"/>
  <c r="AT18" i="39"/>
  <c r="AU18" i="39" s="1"/>
  <c r="BZ18" i="39" s="1"/>
  <c r="P18" i="39"/>
  <c r="Q18" i="39" s="1"/>
  <c r="O18" i="39"/>
  <c r="W18" i="39"/>
  <c r="X18" i="39" s="1"/>
  <c r="AA18" i="39" s="1"/>
  <c r="BM18" i="39"/>
  <c r="BN18" i="39" s="1"/>
  <c r="BK18" i="39"/>
  <c r="BK18" i="52" s="1"/>
  <c r="L20" i="39"/>
  <c r="M19" i="39"/>
  <c r="M19" i="52" s="1"/>
  <c r="AQ20" i="39"/>
  <c r="BH20" i="39"/>
  <c r="V16" i="39"/>
  <c r="BY16" i="39"/>
  <c r="CA16" i="39" s="1"/>
  <c r="AG16" i="39"/>
  <c r="S18" i="39"/>
  <c r="S18" i="52" s="1"/>
  <c r="BJ18" i="39"/>
  <c r="BJ18" i="52" s="1"/>
  <c r="BK18" i="34"/>
  <c r="BW15" i="34"/>
  <c r="AE15" i="34"/>
  <c r="AQ15" i="34" s="1"/>
  <c r="M20" i="34"/>
  <c r="L21" i="34"/>
  <c r="DA31" i="34"/>
  <c r="J20" i="34"/>
  <c r="BL19" i="34"/>
  <c r="BJ19" i="34"/>
  <c r="W19" i="34"/>
  <c r="X19" i="34" s="1"/>
  <c r="AU19" i="34"/>
  <c r="AS19" i="34"/>
  <c r="AT19" i="34" s="1"/>
  <c r="P19" i="34"/>
  <c r="AP20" i="34"/>
  <c r="BG20" i="34"/>
  <c r="AG14" i="34"/>
  <c r="U18" i="34"/>
  <c r="S19" i="34"/>
  <c r="BI19" i="34"/>
  <c r="AY14" i="34"/>
  <c r="N26" i="60" l="1"/>
  <c r="T26" i="60"/>
  <c r="T20" i="39"/>
  <c r="N20" i="39"/>
  <c r="N26" i="57"/>
  <c r="T26" i="57"/>
  <c r="AH22" i="63"/>
  <c r="AN22" i="63" s="1"/>
  <c r="T21" i="34"/>
  <c r="N21" i="34"/>
  <c r="BL17" i="39"/>
  <c r="BP17" i="39" s="1"/>
  <c r="BT17" i="39" s="1"/>
  <c r="T26" i="63"/>
  <c r="N26" i="63"/>
  <c r="CA22" i="60"/>
  <c r="CG22" i="60" s="1"/>
  <c r="AH14" i="39"/>
  <c r="BM18" i="52"/>
  <c r="CA22" i="63"/>
  <c r="CG22" i="63" s="1"/>
  <c r="AZ22" i="63"/>
  <c r="BE22" i="63" s="1"/>
  <c r="BN18" i="52"/>
  <c r="Q18" i="52"/>
  <c r="U24" i="60"/>
  <c r="AG24" i="60" s="1"/>
  <c r="O18" i="52"/>
  <c r="AU18" i="52"/>
  <c r="X18" i="52"/>
  <c r="AA18" i="52" s="1"/>
  <c r="AV18" i="52"/>
  <c r="U17" i="52"/>
  <c r="AW18" i="52"/>
  <c r="R17" i="52"/>
  <c r="BL17" i="52"/>
  <c r="R15" i="52"/>
  <c r="P18" i="52"/>
  <c r="N18" i="52"/>
  <c r="AA24" i="63"/>
  <c r="BP23" i="63"/>
  <c r="BT23" i="63" s="1"/>
  <c r="AE17" i="34"/>
  <c r="AQ17" i="34" s="1"/>
  <c r="AY17" i="34" s="1"/>
  <c r="BD17" i="34" s="1"/>
  <c r="V16" i="34"/>
  <c r="BW16" i="34"/>
  <c r="BZ16" i="34" s="1"/>
  <c r="AE16" i="34"/>
  <c r="AQ16" i="34" s="1"/>
  <c r="AY16" i="34" s="1"/>
  <c r="V17" i="34"/>
  <c r="AB17" i="34" s="1"/>
  <c r="BW17" i="34"/>
  <c r="BZ17" i="34" s="1"/>
  <c r="CF17" i="34" s="1"/>
  <c r="AG17" i="39"/>
  <c r="AH17" i="39" s="1"/>
  <c r="AN17" i="39" s="1"/>
  <c r="BM19" i="34"/>
  <c r="V15" i="39"/>
  <c r="BX15" i="39"/>
  <c r="CA15" i="39" s="1"/>
  <c r="AZ15" i="39"/>
  <c r="AV19" i="34"/>
  <c r="CC15" i="34"/>
  <c r="Q19" i="34"/>
  <c r="AA19" i="34"/>
  <c r="BO18" i="34"/>
  <c r="BS18" i="34" s="1"/>
  <c r="BZ15" i="34"/>
  <c r="R18" i="34"/>
  <c r="O19" i="34"/>
  <c r="BK19" i="34"/>
  <c r="BY19" i="34"/>
  <c r="AG15" i="34"/>
  <c r="CA22" i="57"/>
  <c r="CG22" i="57" s="1"/>
  <c r="U24" i="63"/>
  <c r="BY23" i="57"/>
  <c r="CA23" i="57" s="1"/>
  <c r="CG23" i="57" s="1"/>
  <c r="AF23" i="57"/>
  <c r="AR23" i="57" s="1"/>
  <c r="AH15" i="39"/>
  <c r="V23" i="57"/>
  <c r="AB23" i="57" s="1"/>
  <c r="CD16" i="52"/>
  <c r="R24" i="60"/>
  <c r="BX24" i="60" s="1"/>
  <c r="U19" i="34"/>
  <c r="AA24" i="57"/>
  <c r="BL24" i="57"/>
  <c r="BP24" i="57" s="1"/>
  <c r="BT24" i="57" s="1"/>
  <c r="AZ22" i="57"/>
  <c r="BE22" i="57" s="1"/>
  <c r="BZ24" i="57"/>
  <c r="DB42" i="63"/>
  <c r="J26" i="63"/>
  <c r="AV25" i="63"/>
  <c r="AW25" i="63" s="1"/>
  <c r="AT25" i="63"/>
  <c r="AU25" i="63" s="1"/>
  <c r="BZ25" i="63" s="1"/>
  <c r="P25" i="63"/>
  <c r="Q25" i="63" s="1"/>
  <c r="BM25" i="63"/>
  <c r="BN25" i="63" s="1"/>
  <c r="BK25" i="63"/>
  <c r="W25" i="63"/>
  <c r="X25" i="63" s="1"/>
  <c r="O25" i="63"/>
  <c r="BE21" i="63"/>
  <c r="BJ25" i="63"/>
  <c r="S25" i="63"/>
  <c r="AF23" i="63"/>
  <c r="AR23" i="63" s="1"/>
  <c r="BX23" i="63"/>
  <c r="BL24" i="63"/>
  <c r="BY23" i="63"/>
  <c r="V23" i="63"/>
  <c r="AB23" i="63" s="1"/>
  <c r="AG23" i="63"/>
  <c r="L27" i="63"/>
  <c r="M26" i="63"/>
  <c r="BH27" i="63"/>
  <c r="AQ27" i="63"/>
  <c r="R24" i="63"/>
  <c r="BH27" i="60"/>
  <c r="AF23" i="60"/>
  <c r="AR23" i="60" s="1"/>
  <c r="BX23" i="60"/>
  <c r="L27" i="60"/>
  <c r="M26" i="60"/>
  <c r="AH22" i="60"/>
  <c r="AN22" i="60" s="1"/>
  <c r="AS22" i="60"/>
  <c r="AZ22" i="60" s="1"/>
  <c r="BE22" i="60" s="1"/>
  <c r="BL24" i="60"/>
  <c r="BP24" i="60" s="1"/>
  <c r="BT24" i="60" s="1"/>
  <c r="AQ27" i="60"/>
  <c r="BY23" i="60"/>
  <c r="V23" i="60"/>
  <c r="AB23" i="60" s="1"/>
  <c r="AG23" i="60"/>
  <c r="BJ25" i="60"/>
  <c r="S25" i="60"/>
  <c r="DB42" i="60"/>
  <c r="J26" i="60"/>
  <c r="AV25" i="60"/>
  <c r="AW25" i="60" s="1"/>
  <c r="AT25" i="60"/>
  <c r="AU25" i="60" s="1"/>
  <c r="BZ25" i="60" s="1"/>
  <c r="BM25" i="60"/>
  <c r="BN25" i="60" s="1"/>
  <c r="O25" i="60"/>
  <c r="W25" i="60"/>
  <c r="X25" i="60" s="1"/>
  <c r="AA25" i="60" s="1"/>
  <c r="BK25" i="60"/>
  <c r="P25" i="60"/>
  <c r="Q25" i="60" s="1"/>
  <c r="AB22" i="60"/>
  <c r="R24" i="57"/>
  <c r="J26" i="57"/>
  <c r="AV25" i="57"/>
  <c r="AW25" i="57" s="1"/>
  <c r="AT25" i="57"/>
  <c r="AU25" i="57" s="1"/>
  <c r="DB42" i="57"/>
  <c r="P25" i="57"/>
  <c r="Q25" i="57" s="1"/>
  <c r="O25" i="57"/>
  <c r="W25" i="57"/>
  <c r="X25" i="57" s="1"/>
  <c r="BK25" i="57"/>
  <c r="BM25" i="57"/>
  <c r="BN25" i="57" s="1"/>
  <c r="AS23" i="57"/>
  <c r="BH26" i="57"/>
  <c r="L27" i="57"/>
  <c r="M26" i="57"/>
  <c r="U24" i="57"/>
  <c r="AQ26" i="57"/>
  <c r="AN21" i="57"/>
  <c r="BE21" i="57"/>
  <c r="BJ25" i="57"/>
  <c r="S25" i="57"/>
  <c r="AH22" i="57"/>
  <c r="AN22" i="57" s="1"/>
  <c r="V17" i="39"/>
  <c r="AB17" i="39" s="1"/>
  <c r="BX17" i="39"/>
  <c r="AQ22" i="52"/>
  <c r="DB32" i="52"/>
  <c r="J21" i="52"/>
  <c r="L22" i="52"/>
  <c r="BH22" i="52"/>
  <c r="CD16" i="39"/>
  <c r="CC16" i="34"/>
  <c r="U18" i="39"/>
  <c r="BY18" i="39" s="1"/>
  <c r="AH16" i="39"/>
  <c r="AS16" i="39"/>
  <c r="AZ16" i="39" s="1"/>
  <c r="BH21" i="39"/>
  <c r="L21" i="39"/>
  <c r="M20" i="39"/>
  <c r="M20" i="52" s="1"/>
  <c r="R18" i="39"/>
  <c r="BL18" i="39"/>
  <c r="BP18" i="39" s="1"/>
  <c r="CA17" i="39"/>
  <c r="CG17" i="39" s="1"/>
  <c r="AQ21" i="39"/>
  <c r="S19" i="39"/>
  <c r="S19" i="52" s="1"/>
  <c r="BJ19" i="39"/>
  <c r="BJ19" i="52" s="1"/>
  <c r="DB31" i="39"/>
  <c r="J20" i="39"/>
  <c r="AV19" i="39"/>
  <c r="AW19" i="39" s="1"/>
  <c r="AT19" i="39"/>
  <c r="AU19" i="39" s="1"/>
  <c r="BZ19" i="39" s="1"/>
  <c r="T19" i="52"/>
  <c r="P19" i="39"/>
  <c r="Q19" i="39" s="1"/>
  <c r="W19" i="39"/>
  <c r="X19" i="39" s="1"/>
  <c r="AA19" i="39" s="1"/>
  <c r="O19" i="39"/>
  <c r="BK19" i="39"/>
  <c r="BK19" i="52" s="1"/>
  <c r="BM19" i="39"/>
  <c r="BN19" i="39" s="1"/>
  <c r="AF18" i="34"/>
  <c r="BX18" i="34"/>
  <c r="BG21" i="34"/>
  <c r="AP21" i="34"/>
  <c r="DA32" i="34"/>
  <c r="J21" i="34"/>
  <c r="BL20" i="34"/>
  <c r="BJ20" i="34"/>
  <c r="W20" i="34"/>
  <c r="X20" i="34" s="1"/>
  <c r="AU20" i="34"/>
  <c r="AS20" i="34"/>
  <c r="AT20" i="34" s="1"/>
  <c r="P20" i="34"/>
  <c r="L22" i="34"/>
  <c r="M21" i="34"/>
  <c r="AY15" i="34"/>
  <c r="S20" i="34"/>
  <c r="BI20" i="34"/>
  <c r="T27" i="63" l="1"/>
  <c r="N27" i="63"/>
  <c r="T21" i="39"/>
  <c r="N21" i="39"/>
  <c r="T27" i="60"/>
  <c r="N27" i="60"/>
  <c r="N22" i="34"/>
  <c r="T22" i="34"/>
  <c r="T27" i="57"/>
  <c r="N27" i="57"/>
  <c r="P19" i="52"/>
  <c r="BY24" i="60"/>
  <c r="Q19" i="52"/>
  <c r="U18" i="52"/>
  <c r="R18" i="52"/>
  <c r="AG17" i="34"/>
  <c r="AM17" i="34" s="1"/>
  <c r="N19" i="52"/>
  <c r="AW19" i="52"/>
  <c r="BL18" i="52"/>
  <c r="AU19" i="52"/>
  <c r="O19" i="52"/>
  <c r="BN19" i="52"/>
  <c r="X19" i="52"/>
  <c r="AA19" i="52" s="1"/>
  <c r="AV19" i="52"/>
  <c r="BM19" i="52"/>
  <c r="BY24" i="63"/>
  <c r="BP24" i="63"/>
  <c r="BT24" i="63" s="1"/>
  <c r="AA25" i="63"/>
  <c r="AG16" i="34"/>
  <c r="AS17" i="39"/>
  <c r="AZ17" i="39" s="1"/>
  <c r="BE17" i="39" s="1"/>
  <c r="R19" i="34"/>
  <c r="AG24" i="63"/>
  <c r="AS24" i="63" s="1"/>
  <c r="BY20" i="34"/>
  <c r="BW18" i="34"/>
  <c r="BZ18" i="34" s="1"/>
  <c r="CF18" i="34" s="1"/>
  <c r="O20" i="34"/>
  <c r="AV20" i="34"/>
  <c r="BO19" i="34"/>
  <c r="BS19" i="34" s="1"/>
  <c r="Q20" i="34"/>
  <c r="AA20" i="34"/>
  <c r="AE18" i="34"/>
  <c r="AQ18" i="34" s="1"/>
  <c r="BM20" i="34"/>
  <c r="BX19" i="34"/>
  <c r="V18" i="34"/>
  <c r="AB18" i="34" s="1"/>
  <c r="AF19" i="34"/>
  <c r="AR19" i="34" s="1"/>
  <c r="V24" i="63"/>
  <c r="AB24" i="63" s="1"/>
  <c r="R19" i="39"/>
  <c r="AF19" i="39" s="1"/>
  <c r="AR19" i="39" s="1"/>
  <c r="AH23" i="57"/>
  <c r="AN23" i="57" s="1"/>
  <c r="AF24" i="60"/>
  <c r="AR24" i="60" s="1"/>
  <c r="AZ23" i="57"/>
  <c r="BE23" i="57" s="1"/>
  <c r="V24" i="60"/>
  <c r="AB24" i="60" s="1"/>
  <c r="AG18" i="39"/>
  <c r="AS18" i="39" s="1"/>
  <c r="U25" i="63"/>
  <c r="BL25" i="63"/>
  <c r="BP25" i="63" s="1"/>
  <c r="BT25" i="63" s="1"/>
  <c r="U25" i="60"/>
  <c r="AG25" i="60" s="1"/>
  <c r="CA23" i="63"/>
  <c r="CG23" i="63" s="1"/>
  <c r="R25" i="63"/>
  <c r="U25" i="57"/>
  <c r="BY25" i="57" s="1"/>
  <c r="BZ25" i="57"/>
  <c r="AA25" i="57"/>
  <c r="BL25" i="57"/>
  <c r="BP25" i="57" s="1"/>
  <c r="BT25" i="57" s="1"/>
  <c r="BX24" i="63"/>
  <c r="AF24" i="63"/>
  <c r="AR24" i="63" s="1"/>
  <c r="AQ28" i="63"/>
  <c r="BH28" i="63"/>
  <c r="L28" i="63"/>
  <c r="M27" i="63"/>
  <c r="AH23" i="63"/>
  <c r="AS23" i="63"/>
  <c r="AZ23" i="63" s="1"/>
  <c r="BE23" i="63" s="1"/>
  <c r="Y15" i="57"/>
  <c r="BJ26" i="63"/>
  <c r="S26" i="63"/>
  <c r="AV26" i="63"/>
  <c r="AW26" i="63" s="1"/>
  <c r="AT26" i="63"/>
  <c r="AU26" i="63" s="1"/>
  <c r="BZ26" i="63" s="1"/>
  <c r="DB43" i="63"/>
  <c r="J27" i="63"/>
  <c r="BK26" i="63"/>
  <c r="O26" i="63"/>
  <c r="P26" i="63"/>
  <c r="Q26" i="63" s="1"/>
  <c r="BM26" i="63"/>
  <c r="BN26" i="63" s="1"/>
  <c r="W26" i="63"/>
  <c r="X26" i="63" s="1"/>
  <c r="Y16" i="63"/>
  <c r="Y16" i="60"/>
  <c r="R25" i="60"/>
  <c r="AS24" i="60"/>
  <c r="L28" i="60"/>
  <c r="M27" i="60"/>
  <c r="BL25" i="60"/>
  <c r="BP25" i="60" s="1"/>
  <c r="BT25" i="60" s="1"/>
  <c r="CA24" i="60"/>
  <c r="CG24" i="60" s="1"/>
  <c r="DB43" i="60"/>
  <c r="AV26" i="60"/>
  <c r="AW26" i="60" s="1"/>
  <c r="AT26" i="60"/>
  <c r="AU26" i="60" s="1"/>
  <c r="BZ26" i="60" s="1"/>
  <c r="J27" i="60"/>
  <c r="W26" i="60"/>
  <c r="X26" i="60" s="1"/>
  <c r="AA26" i="60" s="1"/>
  <c r="BK26" i="60"/>
  <c r="P26" i="60"/>
  <c r="Q26" i="60" s="1"/>
  <c r="O26" i="60"/>
  <c r="BM26" i="60"/>
  <c r="BN26" i="60" s="1"/>
  <c r="AH23" i="60"/>
  <c r="AN23" i="60" s="1"/>
  <c r="AS23" i="60"/>
  <c r="AZ23" i="60" s="1"/>
  <c r="BE23" i="60" s="1"/>
  <c r="AQ28" i="60"/>
  <c r="BJ26" i="60"/>
  <c r="S26" i="60"/>
  <c r="BH28" i="60"/>
  <c r="CA23" i="60"/>
  <c r="CG23" i="60" s="1"/>
  <c r="AQ27" i="57"/>
  <c r="S26" i="57"/>
  <c r="BJ26" i="57"/>
  <c r="Y16" i="57"/>
  <c r="BX24" i="57"/>
  <c r="AF24" i="57"/>
  <c r="AR24" i="57" s="1"/>
  <c r="R25" i="57"/>
  <c r="AG24" i="57"/>
  <c r="BY24" i="57"/>
  <c r="V24" i="57"/>
  <c r="AB24" i="57" s="1"/>
  <c r="L28" i="57"/>
  <c r="M27" i="57"/>
  <c r="BH27" i="57"/>
  <c r="J27" i="57"/>
  <c r="DB43" i="57"/>
  <c r="AV26" i="57"/>
  <c r="AW26" i="57" s="1"/>
  <c r="AT26" i="57"/>
  <c r="AU26" i="57" s="1"/>
  <c r="BK26" i="57"/>
  <c r="BM26" i="57"/>
  <c r="BN26" i="57" s="1"/>
  <c r="O26" i="57"/>
  <c r="P26" i="57"/>
  <c r="Q26" i="57" s="1"/>
  <c r="W26" i="57"/>
  <c r="X26" i="57" s="1"/>
  <c r="BH23" i="52"/>
  <c r="L23" i="52"/>
  <c r="DB35" i="52"/>
  <c r="J22" i="52"/>
  <c r="AQ23" i="52"/>
  <c r="V18" i="39"/>
  <c r="AB18" i="39" s="1"/>
  <c r="U20" i="34"/>
  <c r="AQ22" i="39"/>
  <c r="BX18" i="39"/>
  <c r="CA18" i="39" s="1"/>
  <c r="CG18" i="39" s="1"/>
  <c r="AF18" i="39"/>
  <c r="AR18" i="39" s="1"/>
  <c r="L22" i="39"/>
  <c r="M21" i="39"/>
  <c r="M21" i="52" s="1"/>
  <c r="BH22" i="39"/>
  <c r="U19" i="39"/>
  <c r="U19" i="52" s="1"/>
  <c r="DB32" i="39"/>
  <c r="J21" i="39"/>
  <c r="AV20" i="39"/>
  <c r="AW20" i="39" s="1"/>
  <c r="AT20" i="39"/>
  <c r="AU20" i="39" s="1"/>
  <c r="BZ20" i="39" s="1"/>
  <c r="P20" i="39"/>
  <c r="Q20" i="39" s="1"/>
  <c r="W20" i="39"/>
  <c r="X20" i="39" s="1"/>
  <c r="AA20" i="39" s="1"/>
  <c r="BM20" i="39"/>
  <c r="BN20" i="39" s="1"/>
  <c r="T20" i="52"/>
  <c r="BK20" i="39"/>
  <c r="BK20" i="52" s="1"/>
  <c r="O20" i="39"/>
  <c r="BL19" i="39"/>
  <c r="BP19" i="39" s="1"/>
  <c r="BT19" i="39" s="1"/>
  <c r="BT18" i="39"/>
  <c r="BJ20" i="39"/>
  <c r="BJ20" i="52" s="1"/>
  <c r="S20" i="39"/>
  <c r="S20" i="52" s="1"/>
  <c r="BK20" i="34"/>
  <c r="S21" i="34"/>
  <c r="BI21" i="34"/>
  <c r="DA35" i="34"/>
  <c r="BL21" i="34"/>
  <c r="BJ21" i="34"/>
  <c r="W21" i="34"/>
  <c r="X21" i="34" s="1"/>
  <c r="J22" i="34"/>
  <c r="AU21" i="34"/>
  <c r="AS21" i="34"/>
  <c r="AT21" i="34" s="1"/>
  <c r="P21" i="34"/>
  <c r="L23" i="34"/>
  <c r="M22" i="34"/>
  <c r="AP22" i="34"/>
  <c r="BG22" i="34"/>
  <c r="AR18" i="34"/>
  <c r="T22" i="39" l="1"/>
  <c r="N22" i="39"/>
  <c r="T28" i="57"/>
  <c r="N28" i="57"/>
  <c r="T28" i="60"/>
  <c r="N28" i="60"/>
  <c r="N28" i="63"/>
  <c r="T28" i="63"/>
  <c r="T23" i="34"/>
  <c r="N23" i="34"/>
  <c r="P20" i="52"/>
  <c r="CA24" i="63"/>
  <c r="CG24" i="63" s="1"/>
  <c r="X20" i="52"/>
  <c r="Q20" i="52"/>
  <c r="BN20" i="52"/>
  <c r="BL19" i="52"/>
  <c r="AW20" i="52"/>
  <c r="AV20" i="52"/>
  <c r="AU20" i="52"/>
  <c r="O20" i="52"/>
  <c r="R19" i="52"/>
  <c r="BM20" i="52"/>
  <c r="N20" i="52"/>
  <c r="BY25" i="63"/>
  <c r="AA26" i="63"/>
  <c r="BX25" i="63"/>
  <c r="V19" i="34"/>
  <c r="AB19" i="34" s="1"/>
  <c r="AG18" i="34"/>
  <c r="AM18" i="34" s="1"/>
  <c r="AE19" i="34"/>
  <c r="AQ19" i="34" s="1"/>
  <c r="AY19" i="34" s="1"/>
  <c r="BD19" i="34" s="1"/>
  <c r="R20" i="34"/>
  <c r="BW19" i="34"/>
  <c r="BZ19" i="34" s="1"/>
  <c r="CF19" i="34" s="1"/>
  <c r="AY18" i="34"/>
  <c r="BD18" i="34" s="1"/>
  <c r="AA20" i="52"/>
  <c r="BX19" i="39"/>
  <c r="BY21" i="34"/>
  <c r="O21" i="34"/>
  <c r="AV21" i="34"/>
  <c r="BM21" i="34"/>
  <c r="BO20" i="34"/>
  <c r="BS20" i="34" s="1"/>
  <c r="AF20" i="34"/>
  <c r="AR20" i="34" s="1"/>
  <c r="AA21" i="34"/>
  <c r="Q21" i="34"/>
  <c r="BY25" i="60"/>
  <c r="AH24" i="60"/>
  <c r="AN24" i="60" s="1"/>
  <c r="BX20" i="34"/>
  <c r="AG25" i="57"/>
  <c r="AS25" i="57" s="1"/>
  <c r="AZ24" i="60"/>
  <c r="BE24" i="60" s="1"/>
  <c r="AF25" i="63"/>
  <c r="AR25" i="63" s="1"/>
  <c r="V25" i="63"/>
  <c r="AB25" i="63" s="1"/>
  <c r="AG25" i="63"/>
  <c r="AS25" i="63" s="1"/>
  <c r="BB16" i="60"/>
  <c r="BD16" i="60" s="1"/>
  <c r="BE16" i="60" s="1"/>
  <c r="BB16" i="57"/>
  <c r="CC16" i="57" s="1"/>
  <c r="CE16" i="57" s="1"/>
  <c r="CG16" i="57" s="1"/>
  <c r="BB16" i="63"/>
  <c r="BD16" i="63" s="1"/>
  <c r="BE16" i="63" s="1"/>
  <c r="BL26" i="60"/>
  <c r="BP26" i="60" s="1"/>
  <c r="BT26" i="60" s="1"/>
  <c r="V25" i="60"/>
  <c r="AB25" i="60" s="1"/>
  <c r="BL20" i="39"/>
  <c r="BP20" i="39" s="1"/>
  <c r="BT20" i="39" s="1"/>
  <c r="AH24" i="63"/>
  <c r="AN24" i="63" s="1"/>
  <c r="R26" i="60"/>
  <c r="AF26" i="60" s="1"/>
  <c r="AR26" i="60" s="1"/>
  <c r="BZ26" i="57"/>
  <c r="CA24" i="57"/>
  <c r="CG24" i="57" s="1"/>
  <c r="AA26" i="57"/>
  <c r="DB49" i="63"/>
  <c r="J28" i="63"/>
  <c r="AV27" i="63"/>
  <c r="AW27" i="63" s="1"/>
  <c r="AT27" i="63"/>
  <c r="AU27" i="63" s="1"/>
  <c r="BZ27" i="63" s="1"/>
  <c r="BM27" i="63"/>
  <c r="BN27" i="63" s="1"/>
  <c r="W27" i="63"/>
  <c r="X27" i="63" s="1"/>
  <c r="BK27" i="63"/>
  <c r="O27" i="63"/>
  <c r="P27" i="63"/>
  <c r="Q27" i="63" s="1"/>
  <c r="AN23" i="63"/>
  <c r="L29" i="63"/>
  <c r="M28" i="63"/>
  <c r="BH29" i="63"/>
  <c r="AQ29" i="63"/>
  <c r="BL26" i="63"/>
  <c r="AJ16" i="63"/>
  <c r="AL16" i="63" s="1"/>
  <c r="AN16" i="63" s="1"/>
  <c r="AA16" i="63"/>
  <c r="AB16" i="63" s="1"/>
  <c r="Y15" i="63"/>
  <c r="BJ27" i="63"/>
  <c r="S27" i="63"/>
  <c r="R26" i="63"/>
  <c r="U26" i="63"/>
  <c r="AZ24" i="63"/>
  <c r="BE24" i="63" s="1"/>
  <c r="CC16" i="60"/>
  <c r="CE16" i="60" s="1"/>
  <c r="CG16" i="60" s="1"/>
  <c r="Y15" i="60"/>
  <c r="AJ16" i="60"/>
  <c r="AL16" i="60" s="1"/>
  <c r="AN16" i="60" s="1"/>
  <c r="AA16" i="60"/>
  <c r="AB16" i="60" s="1"/>
  <c r="BJ27" i="60"/>
  <c r="S27" i="60"/>
  <c r="BX25" i="60"/>
  <c r="AF25" i="60"/>
  <c r="AR25" i="60" s="1"/>
  <c r="U26" i="60"/>
  <c r="BH29" i="60"/>
  <c r="AQ29" i="60"/>
  <c r="AS25" i="60"/>
  <c r="J28" i="60"/>
  <c r="AV27" i="60"/>
  <c r="AW27" i="60" s="1"/>
  <c r="AT27" i="60"/>
  <c r="AU27" i="60" s="1"/>
  <c r="BZ27" i="60" s="1"/>
  <c r="DB49" i="60"/>
  <c r="BM27" i="60"/>
  <c r="BN27" i="60" s="1"/>
  <c r="W27" i="60"/>
  <c r="X27" i="60" s="1"/>
  <c r="AA27" i="60" s="1"/>
  <c r="BK27" i="60"/>
  <c r="P27" i="60"/>
  <c r="Q27" i="60" s="1"/>
  <c r="O27" i="60"/>
  <c r="L29" i="60"/>
  <c r="M28" i="60"/>
  <c r="DB49" i="57"/>
  <c r="J28" i="57"/>
  <c r="AV27" i="57"/>
  <c r="AW27" i="57" s="1"/>
  <c r="AT27" i="57"/>
  <c r="AU27" i="57" s="1"/>
  <c r="BK27" i="57"/>
  <c r="BM27" i="57"/>
  <c r="BN27" i="57" s="1"/>
  <c r="O27" i="57"/>
  <c r="P27" i="57"/>
  <c r="Q27" i="57" s="1"/>
  <c r="W27" i="57"/>
  <c r="X27" i="57" s="1"/>
  <c r="BH28" i="57"/>
  <c r="L29" i="57"/>
  <c r="M28" i="57"/>
  <c r="AF25" i="57"/>
  <c r="AR25" i="57" s="1"/>
  <c r="BX25" i="57"/>
  <c r="CA25" i="57" s="1"/>
  <c r="CG25" i="57" s="1"/>
  <c r="AJ15" i="57"/>
  <c r="AL15" i="57" s="1"/>
  <c r="AN15" i="57" s="1"/>
  <c r="AA15" i="57"/>
  <c r="AB15" i="57" s="1"/>
  <c r="BL26" i="57"/>
  <c r="V25" i="57"/>
  <c r="AB25" i="57" s="1"/>
  <c r="S27" i="57"/>
  <c r="BJ27" i="57"/>
  <c r="AS24" i="57"/>
  <c r="AZ24" i="57" s="1"/>
  <c r="BE24" i="57" s="1"/>
  <c r="AH24" i="57"/>
  <c r="AN24" i="57" s="1"/>
  <c r="AJ16" i="57"/>
  <c r="AL16" i="57" s="1"/>
  <c r="AN16" i="57" s="1"/>
  <c r="AA16" i="57"/>
  <c r="AB16" i="57" s="1"/>
  <c r="AQ28" i="57"/>
  <c r="R26" i="57"/>
  <c r="U26" i="57"/>
  <c r="AK15" i="52"/>
  <c r="DB37" i="52"/>
  <c r="J23" i="52"/>
  <c r="L24" i="52"/>
  <c r="AQ24" i="52"/>
  <c r="BH24" i="52"/>
  <c r="R20" i="39"/>
  <c r="AF20" i="39" s="1"/>
  <c r="AR20" i="39" s="1"/>
  <c r="AZ18" i="39"/>
  <c r="BE18" i="39" s="1"/>
  <c r="AH18" i="39"/>
  <c r="AN18" i="39" s="1"/>
  <c r="AG19" i="39"/>
  <c r="BY19" i="39"/>
  <c r="V19" i="39"/>
  <c r="BH23" i="39"/>
  <c r="L23" i="39"/>
  <c r="M22" i="39"/>
  <c r="M22" i="52" s="1"/>
  <c r="U20" i="39"/>
  <c r="U20" i="52" s="1"/>
  <c r="DB35" i="39"/>
  <c r="J22" i="39"/>
  <c r="AV21" i="39"/>
  <c r="AW21" i="39" s="1"/>
  <c r="AT21" i="39"/>
  <c r="AU21" i="39" s="1"/>
  <c r="BZ21" i="39" s="1"/>
  <c r="P21" i="39"/>
  <c r="Q21" i="39" s="1"/>
  <c r="T21" i="52"/>
  <c r="O21" i="39"/>
  <c r="W21" i="39"/>
  <c r="X21" i="39" s="1"/>
  <c r="AA21" i="39" s="1"/>
  <c r="BM21" i="39"/>
  <c r="BN21" i="39" s="1"/>
  <c r="BK21" i="39"/>
  <c r="BK21" i="52" s="1"/>
  <c r="S21" i="39"/>
  <c r="S21" i="52" s="1"/>
  <c r="BJ21" i="39"/>
  <c r="BJ21" i="52" s="1"/>
  <c r="AQ23" i="39"/>
  <c r="BK21" i="34"/>
  <c r="AP23" i="34"/>
  <c r="BG23" i="34"/>
  <c r="L24" i="34"/>
  <c r="M23" i="34"/>
  <c r="DA37" i="34"/>
  <c r="AU22" i="34"/>
  <c r="AS22" i="34"/>
  <c r="AT22" i="34" s="1"/>
  <c r="P22" i="34"/>
  <c r="J23" i="34"/>
  <c r="BL22" i="34"/>
  <c r="BJ22" i="34"/>
  <c r="W22" i="34"/>
  <c r="X22" i="34" s="1"/>
  <c r="U21" i="34"/>
  <c r="BI22" i="34"/>
  <c r="S22" i="34"/>
  <c r="N23" i="39" l="1"/>
  <c r="T23" i="39"/>
  <c r="N29" i="63"/>
  <c r="T29" i="63"/>
  <c r="N24" i="34"/>
  <c r="T24" i="34"/>
  <c r="N29" i="57"/>
  <c r="T29" i="57"/>
  <c r="N29" i="60"/>
  <c r="T29" i="60"/>
  <c r="AU21" i="52"/>
  <c r="CA25" i="63"/>
  <c r="CG25" i="63" s="1"/>
  <c r="AW21" i="52"/>
  <c r="X21" i="52"/>
  <c r="AA21" i="52" s="1"/>
  <c r="N21" i="52"/>
  <c r="O21" i="52"/>
  <c r="BL20" i="52"/>
  <c r="Q21" i="52"/>
  <c r="BN21" i="52"/>
  <c r="R20" i="52"/>
  <c r="BM21" i="52"/>
  <c r="P21" i="52"/>
  <c r="AV21" i="52"/>
  <c r="AA27" i="63"/>
  <c r="BP26" i="63"/>
  <c r="BT26" i="63" s="1"/>
  <c r="V20" i="34"/>
  <c r="AB20" i="34" s="1"/>
  <c r="AG19" i="34"/>
  <c r="AM19" i="34" s="1"/>
  <c r="CA19" i="39"/>
  <c r="CG19" i="39" s="1"/>
  <c r="CA25" i="60"/>
  <c r="CG25" i="60" s="1"/>
  <c r="AE20" i="34"/>
  <c r="AQ20" i="34" s="1"/>
  <c r="AY20" i="34" s="1"/>
  <c r="BW20" i="34"/>
  <c r="BZ20" i="34" s="1"/>
  <c r="CF20" i="34" s="1"/>
  <c r="O22" i="34"/>
  <c r="Q22" i="34"/>
  <c r="BO21" i="34"/>
  <c r="BS21" i="34" s="1"/>
  <c r="BM22" i="34"/>
  <c r="R21" i="34"/>
  <c r="AA22" i="34"/>
  <c r="AV22" i="34"/>
  <c r="BY22" i="34"/>
  <c r="U27" i="63"/>
  <c r="AZ25" i="63"/>
  <c r="BE25" i="63" s="1"/>
  <c r="AH25" i="63"/>
  <c r="AN25" i="63" s="1"/>
  <c r="BB15" i="60"/>
  <c r="BD16" i="57"/>
  <c r="BE16" i="57" s="1"/>
  <c r="CC16" i="63"/>
  <c r="CE16" i="63" s="1"/>
  <c r="CG16" i="63" s="1"/>
  <c r="BB15" i="63"/>
  <c r="BB15" i="57"/>
  <c r="BD15" i="57" s="1"/>
  <c r="BE15" i="57" s="1"/>
  <c r="CC15" i="57"/>
  <c r="CE15" i="57" s="1"/>
  <c r="CG15" i="57" s="1"/>
  <c r="BR38" i="52"/>
  <c r="BR37" i="52"/>
  <c r="BX26" i="60"/>
  <c r="BL21" i="39"/>
  <c r="BP21" i="39" s="1"/>
  <c r="U21" i="39"/>
  <c r="AG21" i="39" s="1"/>
  <c r="U27" i="60"/>
  <c r="AG27" i="60" s="1"/>
  <c r="BZ27" i="57"/>
  <c r="BL27" i="57"/>
  <c r="BP27" i="57" s="1"/>
  <c r="BT27" i="57" s="1"/>
  <c r="BP26" i="57"/>
  <c r="BT26" i="57" s="1"/>
  <c r="AA27" i="57"/>
  <c r="AF26" i="63"/>
  <c r="AR26" i="63" s="1"/>
  <c r="BX26" i="63"/>
  <c r="AJ15" i="63"/>
  <c r="AL15" i="63" s="1"/>
  <c r="AN15" i="63" s="1"/>
  <c r="AA15" i="63"/>
  <c r="AB15" i="63" s="1"/>
  <c r="AQ30" i="63"/>
  <c r="BH30" i="63"/>
  <c r="L30" i="63"/>
  <c r="M29" i="63"/>
  <c r="BL27" i="63"/>
  <c r="BY26" i="63"/>
  <c r="V26" i="63"/>
  <c r="AB26" i="63" s="1"/>
  <c r="AG26" i="63"/>
  <c r="CC15" i="63"/>
  <c r="CE15" i="63" s="1"/>
  <c r="CG15" i="63" s="1"/>
  <c r="BD15" i="63"/>
  <c r="BE15" i="63" s="1"/>
  <c r="S28" i="63"/>
  <c r="BJ28" i="63"/>
  <c r="DB50" i="63"/>
  <c r="J29" i="63"/>
  <c r="AV28" i="63"/>
  <c r="AW28" i="63" s="1"/>
  <c r="BK28" i="63"/>
  <c r="W28" i="63"/>
  <c r="X28" i="63" s="1"/>
  <c r="O28" i="63"/>
  <c r="P28" i="63"/>
  <c r="Q28" i="63" s="1"/>
  <c r="AT28" i="63"/>
  <c r="AU28" i="63" s="1"/>
  <c r="BZ28" i="63" s="1"/>
  <c r="BM28" i="63"/>
  <c r="BN28" i="63" s="1"/>
  <c r="R27" i="63"/>
  <c r="AJ15" i="60"/>
  <c r="AL15" i="60" s="1"/>
  <c r="AN15" i="60" s="1"/>
  <c r="AA15" i="60"/>
  <c r="AB15" i="60" s="1"/>
  <c r="CC15" i="60"/>
  <c r="CE15" i="60" s="1"/>
  <c r="CG15" i="60" s="1"/>
  <c r="BD15" i="60"/>
  <c r="BE15" i="60" s="1"/>
  <c r="S28" i="60"/>
  <c r="BJ28" i="60"/>
  <c r="AQ30" i="60"/>
  <c r="BY26" i="60"/>
  <c r="V26" i="60"/>
  <c r="AB26" i="60" s="1"/>
  <c r="AG26" i="60"/>
  <c r="AH25" i="60"/>
  <c r="AN25" i="60" s="1"/>
  <c r="BL27" i="60"/>
  <c r="BP27" i="60" s="1"/>
  <c r="BT27" i="60" s="1"/>
  <c r="L30" i="60"/>
  <c r="M29" i="60"/>
  <c r="DB50" i="60"/>
  <c r="J29" i="60"/>
  <c r="AV28" i="60"/>
  <c r="AW28" i="60" s="1"/>
  <c r="BK28" i="60"/>
  <c r="W28" i="60"/>
  <c r="X28" i="60" s="1"/>
  <c r="AA28" i="60" s="1"/>
  <c r="BM28" i="60"/>
  <c r="BN28" i="60" s="1"/>
  <c r="AT28" i="60"/>
  <c r="AU28" i="60" s="1"/>
  <c r="BZ28" i="60" s="1"/>
  <c r="P28" i="60"/>
  <c r="Q28" i="60" s="1"/>
  <c r="O28" i="60"/>
  <c r="BH30" i="60"/>
  <c r="AZ25" i="60"/>
  <c r="BE25" i="60" s="1"/>
  <c r="R27" i="60"/>
  <c r="AH25" i="57"/>
  <c r="AN25" i="57" s="1"/>
  <c r="AZ25" i="57"/>
  <c r="BE25" i="57" s="1"/>
  <c r="AG26" i="57"/>
  <c r="BY26" i="57"/>
  <c r="V26" i="57"/>
  <c r="AB26" i="57" s="1"/>
  <c r="BJ28" i="57"/>
  <c r="S28" i="57"/>
  <c r="J29" i="57"/>
  <c r="AV28" i="57"/>
  <c r="AW28" i="57" s="1"/>
  <c r="DB50" i="57"/>
  <c r="BK28" i="57"/>
  <c r="BM28" i="57"/>
  <c r="BN28" i="57" s="1"/>
  <c r="W28" i="57"/>
  <c r="X28" i="57" s="1"/>
  <c r="O28" i="57"/>
  <c r="P28" i="57"/>
  <c r="Q28" i="57" s="1"/>
  <c r="AT28" i="57"/>
  <c r="AU28" i="57" s="1"/>
  <c r="R27" i="57"/>
  <c r="U27" i="57"/>
  <c r="BX26" i="57"/>
  <c r="AF26" i="57"/>
  <c r="AR26" i="57" s="1"/>
  <c r="AQ29" i="57"/>
  <c r="L30" i="57"/>
  <c r="M29" i="57"/>
  <c r="BH29" i="57"/>
  <c r="U22" i="34"/>
  <c r="BZ14" i="52"/>
  <c r="CD15" i="52"/>
  <c r="BH25" i="52"/>
  <c r="L25" i="52"/>
  <c r="AQ25" i="52"/>
  <c r="DB40" i="52"/>
  <c r="J24" i="52"/>
  <c r="BX20" i="39"/>
  <c r="AQ24" i="39"/>
  <c r="DB37" i="39"/>
  <c r="J23" i="39"/>
  <c r="AV22" i="39"/>
  <c r="AW22" i="39" s="1"/>
  <c r="AT22" i="39"/>
  <c r="AU22" i="39" s="1"/>
  <c r="BZ22" i="39" s="1"/>
  <c r="P22" i="39"/>
  <c r="Q22" i="39" s="1"/>
  <c r="BK22" i="39"/>
  <c r="BK22" i="52" s="1"/>
  <c r="O22" i="39"/>
  <c r="W22" i="39"/>
  <c r="X22" i="39" s="1"/>
  <c r="AA22" i="39" s="1"/>
  <c r="BM22" i="39"/>
  <c r="BN22" i="39" s="1"/>
  <c r="T22" i="52"/>
  <c r="L24" i="39"/>
  <c r="M23" i="39"/>
  <c r="M23" i="52" s="1"/>
  <c r="BH24" i="39"/>
  <c r="BY20" i="39"/>
  <c r="V20" i="39"/>
  <c r="AB20" i="39" s="1"/>
  <c r="AG20" i="39"/>
  <c r="BJ22" i="39"/>
  <c r="BJ22" i="52" s="1"/>
  <c r="S22" i="39"/>
  <c r="S22" i="52" s="1"/>
  <c r="AB19" i="39"/>
  <c r="AS19" i="39"/>
  <c r="AZ19" i="39" s="1"/>
  <c r="AH19" i="39"/>
  <c r="R21" i="39"/>
  <c r="DA40" i="34"/>
  <c r="J24" i="34"/>
  <c r="AU23" i="34"/>
  <c r="AS23" i="34"/>
  <c r="AT23" i="34" s="1"/>
  <c r="P23" i="34"/>
  <c r="BL23" i="34"/>
  <c r="BJ23" i="34"/>
  <c r="W23" i="34"/>
  <c r="X23" i="34" s="1"/>
  <c r="L25" i="34"/>
  <c r="M24" i="34"/>
  <c r="AF21" i="34"/>
  <c r="BX21" i="34"/>
  <c r="BI23" i="34"/>
  <c r="S23" i="34"/>
  <c r="BG24" i="34"/>
  <c r="BK22" i="34"/>
  <c r="AP24" i="34"/>
  <c r="N25" i="34" l="1"/>
  <c r="T25" i="34"/>
  <c r="T30" i="63"/>
  <c r="N30" i="63"/>
  <c r="T24" i="39"/>
  <c r="N24" i="39"/>
  <c r="N30" i="57"/>
  <c r="T30" i="57"/>
  <c r="N30" i="60"/>
  <c r="T30" i="60"/>
  <c r="BM22" i="52"/>
  <c r="AW22" i="52"/>
  <c r="Q22" i="52"/>
  <c r="AV22" i="52"/>
  <c r="R21" i="52"/>
  <c r="O22" i="52"/>
  <c r="BL21" i="52"/>
  <c r="X22" i="52"/>
  <c r="AA22" i="52" s="1"/>
  <c r="AU22" i="52"/>
  <c r="N22" i="52"/>
  <c r="BN22" i="52"/>
  <c r="P22" i="52"/>
  <c r="U21" i="52"/>
  <c r="O23" i="34"/>
  <c r="AA28" i="63"/>
  <c r="BP27" i="63"/>
  <c r="BT27" i="63" s="1"/>
  <c r="AG27" i="63"/>
  <c r="AS27" i="63" s="1"/>
  <c r="BW21" i="34"/>
  <c r="BZ21" i="34" s="1"/>
  <c r="CF21" i="34" s="1"/>
  <c r="Q23" i="34"/>
  <c r="AG20" i="34"/>
  <c r="AM20" i="34" s="1"/>
  <c r="V21" i="34"/>
  <c r="AB21" i="34" s="1"/>
  <c r="BX22" i="34"/>
  <c r="BO22" i="34"/>
  <c r="BS22" i="34" s="1"/>
  <c r="AA23" i="34"/>
  <c r="R22" i="34"/>
  <c r="U23" i="34"/>
  <c r="AV23" i="34"/>
  <c r="BM23" i="34"/>
  <c r="BY23" i="34"/>
  <c r="AE21" i="34"/>
  <c r="AQ21" i="34" s="1"/>
  <c r="BY27" i="63"/>
  <c r="V27" i="60"/>
  <c r="AB27" i="60" s="1"/>
  <c r="V21" i="39"/>
  <c r="AB21" i="39" s="1"/>
  <c r="BY27" i="60"/>
  <c r="BY21" i="39"/>
  <c r="CA26" i="60"/>
  <c r="CG26" i="60" s="1"/>
  <c r="AF22" i="34"/>
  <c r="AR22" i="34" s="1"/>
  <c r="CA26" i="57"/>
  <c r="CG26" i="57" s="1"/>
  <c r="U22" i="39"/>
  <c r="BY22" i="39" s="1"/>
  <c r="U28" i="63"/>
  <c r="R28" i="60"/>
  <c r="AF28" i="60" s="1"/>
  <c r="AR28" i="60" s="1"/>
  <c r="BZ28" i="57"/>
  <c r="AA28" i="57"/>
  <c r="BL28" i="57"/>
  <c r="BP28" i="57" s="1"/>
  <c r="BT28" i="57" s="1"/>
  <c r="CA26" i="63"/>
  <c r="CG26" i="63" s="1"/>
  <c r="AF27" i="63"/>
  <c r="AR27" i="63" s="1"/>
  <c r="BX27" i="63"/>
  <c r="DB51" i="63"/>
  <c r="J30" i="63"/>
  <c r="AV29" i="63"/>
  <c r="AW29" i="63" s="1"/>
  <c r="BK29" i="63"/>
  <c r="O29" i="63"/>
  <c r="P29" i="63"/>
  <c r="Q29" i="63" s="1"/>
  <c r="AT29" i="63"/>
  <c r="AU29" i="63" s="1"/>
  <c r="BZ29" i="63" s="1"/>
  <c r="BM29" i="63"/>
  <c r="BN29" i="63" s="1"/>
  <c r="W29" i="63"/>
  <c r="X29" i="63" s="1"/>
  <c r="AH26" i="63"/>
  <c r="AN26" i="63" s="1"/>
  <c r="AS26" i="63"/>
  <c r="AZ26" i="63" s="1"/>
  <c r="BE26" i="63" s="1"/>
  <c r="BJ29" i="63"/>
  <c r="S29" i="63"/>
  <c r="BL28" i="63"/>
  <c r="V27" i="63"/>
  <c r="AB27" i="63" s="1"/>
  <c r="L31" i="63"/>
  <c r="M30" i="63"/>
  <c r="BH31" i="63"/>
  <c r="AQ31" i="63"/>
  <c r="R28" i="63"/>
  <c r="AF27" i="60"/>
  <c r="AR27" i="60" s="1"/>
  <c r="BX27" i="60"/>
  <c r="AS27" i="60"/>
  <c r="L31" i="60"/>
  <c r="M30" i="60"/>
  <c r="AH26" i="60"/>
  <c r="AN26" i="60" s="1"/>
  <c r="AS26" i="60"/>
  <c r="AZ26" i="60" s="1"/>
  <c r="BE26" i="60" s="1"/>
  <c r="AQ31" i="60"/>
  <c r="U28" i="60"/>
  <c r="BH31" i="60"/>
  <c r="AV29" i="60"/>
  <c r="AW29" i="60" s="1"/>
  <c r="DB51" i="60"/>
  <c r="J30" i="60"/>
  <c r="W29" i="60"/>
  <c r="X29" i="60" s="1"/>
  <c r="AA29" i="60" s="1"/>
  <c r="BK29" i="60"/>
  <c r="BM29" i="60"/>
  <c r="BN29" i="60" s="1"/>
  <c r="P29" i="60"/>
  <c r="Q29" i="60" s="1"/>
  <c r="O29" i="60"/>
  <c r="AT29" i="60"/>
  <c r="AU29" i="60" s="1"/>
  <c r="BZ29" i="60" s="1"/>
  <c r="BJ29" i="60"/>
  <c r="S29" i="60"/>
  <c r="BL28" i="60"/>
  <c r="BP28" i="60" s="1"/>
  <c r="BT28" i="60" s="1"/>
  <c r="R28" i="57"/>
  <c r="S29" i="57"/>
  <c r="BJ29" i="57"/>
  <c r="AG27" i="57"/>
  <c r="BY27" i="57"/>
  <c r="V27" i="57"/>
  <c r="AB27" i="57" s="1"/>
  <c r="AS26" i="57"/>
  <c r="AZ26" i="57" s="1"/>
  <c r="BE26" i="57" s="1"/>
  <c r="AH26" i="57"/>
  <c r="AN26" i="57" s="1"/>
  <c r="U28" i="57"/>
  <c r="BH30" i="57"/>
  <c r="L31" i="57"/>
  <c r="M30" i="57"/>
  <c r="AQ30" i="57"/>
  <c r="BX27" i="57"/>
  <c r="AF27" i="57"/>
  <c r="AR27" i="57" s="1"/>
  <c r="DB51" i="57"/>
  <c r="J30" i="57"/>
  <c r="AV29" i="57"/>
  <c r="AW29" i="57" s="1"/>
  <c r="BK29" i="57"/>
  <c r="BM29" i="57"/>
  <c r="BN29" i="57" s="1"/>
  <c r="O29" i="57"/>
  <c r="P29" i="57"/>
  <c r="Q29" i="57" s="1"/>
  <c r="W29" i="57"/>
  <c r="X29" i="57" s="1"/>
  <c r="AT29" i="57"/>
  <c r="AU29" i="57" s="1"/>
  <c r="BP15" i="52"/>
  <c r="BT15" i="52" s="1"/>
  <c r="BZ15" i="52"/>
  <c r="DB41" i="52"/>
  <c r="J25" i="52"/>
  <c r="AQ26" i="52"/>
  <c r="L26" i="52"/>
  <c r="BH26" i="52"/>
  <c r="CA20" i="39"/>
  <c r="CG20" i="39" s="1"/>
  <c r="BK23" i="34"/>
  <c r="R22" i="39"/>
  <c r="AF22" i="39" s="1"/>
  <c r="AR22" i="39" s="1"/>
  <c r="BE19" i="39"/>
  <c r="AN19" i="39"/>
  <c r="BL22" i="39"/>
  <c r="BP22" i="39" s="1"/>
  <c r="BT22" i="39" s="1"/>
  <c r="AS21" i="39"/>
  <c r="BT21" i="39"/>
  <c r="BH25" i="39"/>
  <c r="L25" i="39"/>
  <c r="M24" i="39"/>
  <c r="M24" i="52" s="1"/>
  <c r="BX21" i="39"/>
  <c r="AF21" i="39"/>
  <c r="AR21" i="39" s="1"/>
  <c r="AH20" i="39"/>
  <c r="AN20" i="39" s="1"/>
  <c r="AS20" i="39"/>
  <c r="AZ20" i="39" s="1"/>
  <c r="BE20" i="39" s="1"/>
  <c r="S23" i="39"/>
  <c r="S23" i="52" s="1"/>
  <c r="BJ23" i="39"/>
  <c r="BJ23" i="52" s="1"/>
  <c r="DB40" i="39"/>
  <c r="J24" i="39"/>
  <c r="AV23" i="39"/>
  <c r="AW23" i="39" s="1"/>
  <c r="AT23" i="39"/>
  <c r="AU23" i="39" s="1"/>
  <c r="BZ23" i="39" s="1"/>
  <c r="P23" i="39"/>
  <c r="Q23" i="39" s="1"/>
  <c r="O23" i="39"/>
  <c r="BM23" i="39"/>
  <c r="BN23" i="39" s="1"/>
  <c r="T23" i="52"/>
  <c r="BK23" i="39"/>
  <c r="BK23" i="52" s="1"/>
  <c r="W23" i="39"/>
  <c r="X23" i="39" s="1"/>
  <c r="AA23" i="39" s="1"/>
  <c r="AQ25" i="39"/>
  <c r="AP25" i="34"/>
  <c r="BD20" i="34"/>
  <c r="AR21" i="34"/>
  <c r="L26" i="34"/>
  <c r="M25" i="34"/>
  <c r="BG25" i="34"/>
  <c r="S24" i="34"/>
  <c r="BI24" i="34"/>
  <c r="DA41" i="34"/>
  <c r="J25" i="34"/>
  <c r="BL24" i="34"/>
  <c r="BJ24" i="34"/>
  <c r="W24" i="34"/>
  <c r="X24" i="34" s="1"/>
  <c r="AU24" i="34"/>
  <c r="AS24" i="34"/>
  <c r="AT24" i="34" s="1"/>
  <c r="P24" i="34"/>
  <c r="T31" i="60" l="1"/>
  <c r="N31" i="60"/>
  <c r="T25" i="39"/>
  <c r="N25" i="39"/>
  <c r="P23" i="52"/>
  <c r="T31" i="63"/>
  <c r="N31" i="63"/>
  <c r="N26" i="34"/>
  <c r="T26" i="34"/>
  <c r="T31" i="57"/>
  <c r="N31" i="57"/>
  <c r="BM23" i="52"/>
  <c r="X23" i="52"/>
  <c r="AA23" i="52" s="1"/>
  <c r="R22" i="52"/>
  <c r="O23" i="52"/>
  <c r="N23" i="52"/>
  <c r="CA27" i="63"/>
  <c r="CG27" i="63" s="1"/>
  <c r="U22" i="52"/>
  <c r="BN23" i="52"/>
  <c r="AV23" i="52"/>
  <c r="AW23" i="52"/>
  <c r="Q23" i="52"/>
  <c r="AU23" i="52"/>
  <c r="BL22" i="52"/>
  <c r="U29" i="63"/>
  <c r="BY29" i="63" s="1"/>
  <c r="BP28" i="63"/>
  <c r="BT28" i="63" s="1"/>
  <c r="AA29" i="63"/>
  <c r="AG28" i="63"/>
  <c r="AS28" i="63" s="1"/>
  <c r="R23" i="34"/>
  <c r="AE22" i="34"/>
  <c r="AQ22" i="34" s="1"/>
  <c r="AY22" i="34" s="1"/>
  <c r="BD22" i="34" s="1"/>
  <c r="AY21" i="34"/>
  <c r="BD21" i="34" s="1"/>
  <c r="BY24" i="34"/>
  <c r="BO23" i="34"/>
  <c r="BS23" i="34" s="1"/>
  <c r="O24" i="34"/>
  <c r="AV24" i="34"/>
  <c r="Q24" i="34"/>
  <c r="AA24" i="34"/>
  <c r="BW22" i="34"/>
  <c r="BZ22" i="34" s="1"/>
  <c r="CF22" i="34" s="1"/>
  <c r="AF23" i="34"/>
  <c r="AR23" i="34" s="1"/>
  <c r="V22" i="34"/>
  <c r="AB22" i="34" s="1"/>
  <c r="BM24" i="34"/>
  <c r="AG21" i="34"/>
  <c r="AM21" i="34" s="1"/>
  <c r="BX23" i="34"/>
  <c r="CA21" i="39"/>
  <c r="CG21" i="39" s="1"/>
  <c r="CA27" i="60"/>
  <c r="CG27" i="60" s="1"/>
  <c r="CA27" i="57"/>
  <c r="CG27" i="57" s="1"/>
  <c r="AH27" i="60"/>
  <c r="AN27" i="60" s="1"/>
  <c r="AG22" i="39"/>
  <c r="AH22" i="39" s="1"/>
  <c r="AN22" i="39" s="1"/>
  <c r="BL29" i="60"/>
  <c r="BP29" i="60" s="1"/>
  <c r="BT29" i="60" s="1"/>
  <c r="BP17" i="52"/>
  <c r="BT17" i="52" s="1"/>
  <c r="BX28" i="60"/>
  <c r="V28" i="63"/>
  <c r="AB28" i="63" s="1"/>
  <c r="BY28" i="63"/>
  <c r="AF16" i="52"/>
  <c r="AR16" i="52" s="1"/>
  <c r="BX14" i="52"/>
  <c r="AH27" i="63"/>
  <c r="AN27" i="63" s="1"/>
  <c r="BL29" i="63"/>
  <c r="R29" i="60"/>
  <c r="BX29" i="60" s="1"/>
  <c r="BZ29" i="57"/>
  <c r="AA29" i="57"/>
  <c r="R29" i="57"/>
  <c r="BX29" i="57" s="1"/>
  <c r="BL29" i="57"/>
  <c r="BP29" i="57" s="1"/>
  <c r="BT29" i="57" s="1"/>
  <c r="R29" i="63"/>
  <c r="BX28" i="63"/>
  <c r="AF28" i="63"/>
  <c r="AR28" i="63" s="1"/>
  <c r="AQ32" i="63"/>
  <c r="BH32" i="63"/>
  <c r="L32" i="63"/>
  <c r="M31" i="63"/>
  <c r="J31" i="63"/>
  <c r="AV30" i="63"/>
  <c r="AW30" i="63" s="1"/>
  <c r="BM30" i="63"/>
  <c r="BN30" i="63" s="1"/>
  <c r="BK30" i="63"/>
  <c r="W30" i="63"/>
  <c r="X30" i="63" s="1"/>
  <c r="O30" i="63"/>
  <c r="P30" i="63"/>
  <c r="Q30" i="63" s="1"/>
  <c r="AT30" i="63"/>
  <c r="AU30" i="63" s="1"/>
  <c r="BZ30" i="63" s="1"/>
  <c r="S30" i="63"/>
  <c r="BJ30" i="63"/>
  <c r="AZ27" i="63"/>
  <c r="BE27" i="63" s="1"/>
  <c r="BH32" i="60"/>
  <c r="AG28" i="60"/>
  <c r="BY28" i="60"/>
  <c r="V28" i="60"/>
  <c r="AB28" i="60" s="1"/>
  <c r="AQ32" i="60"/>
  <c r="L32" i="60"/>
  <c r="M31" i="60"/>
  <c r="U29" i="60"/>
  <c r="AZ27" i="60"/>
  <c r="BE27" i="60" s="1"/>
  <c r="AV30" i="60"/>
  <c r="AW30" i="60" s="1"/>
  <c r="J31" i="60"/>
  <c r="BM30" i="60"/>
  <c r="BN30" i="60" s="1"/>
  <c r="W30" i="60"/>
  <c r="X30" i="60" s="1"/>
  <c r="AA30" i="60" s="1"/>
  <c r="BK30" i="60"/>
  <c r="P30" i="60"/>
  <c r="Q30" i="60" s="1"/>
  <c r="O30" i="60"/>
  <c r="AT30" i="60"/>
  <c r="AU30" i="60" s="1"/>
  <c r="BZ30" i="60" s="1"/>
  <c r="BJ30" i="60"/>
  <c r="S30" i="60"/>
  <c r="AV30" i="57"/>
  <c r="AW30" i="57" s="1"/>
  <c r="J31" i="57"/>
  <c r="O30" i="57"/>
  <c r="P30" i="57"/>
  <c r="Q30" i="57" s="1"/>
  <c r="BK30" i="57"/>
  <c r="BM30" i="57"/>
  <c r="BN30" i="57" s="1"/>
  <c r="W30" i="57"/>
  <c r="X30" i="57" s="1"/>
  <c r="AT30" i="57"/>
  <c r="AU30" i="57" s="1"/>
  <c r="BJ30" i="57"/>
  <c r="S30" i="57"/>
  <c r="BY28" i="57"/>
  <c r="V28" i="57"/>
  <c r="AB28" i="57" s="1"/>
  <c r="AG28" i="57"/>
  <c r="AS27" i="57"/>
  <c r="AZ27" i="57" s="1"/>
  <c r="BE27" i="57" s="1"/>
  <c r="AH27" i="57"/>
  <c r="AN27" i="57" s="1"/>
  <c r="U29" i="57"/>
  <c r="AQ31" i="57"/>
  <c r="L32" i="57"/>
  <c r="M31" i="57"/>
  <c r="BH31" i="57"/>
  <c r="AF28" i="57"/>
  <c r="AR28" i="57" s="1"/>
  <c r="BX28" i="57"/>
  <c r="BZ16" i="52"/>
  <c r="BY15" i="52"/>
  <c r="AG15" i="52"/>
  <c r="AS15" i="52" s="1"/>
  <c r="BP16" i="52"/>
  <c r="BT16" i="52" s="1"/>
  <c r="BH27" i="52"/>
  <c r="L27" i="52"/>
  <c r="AQ27" i="52"/>
  <c r="DB42" i="52"/>
  <c r="J26" i="52"/>
  <c r="BL23" i="39"/>
  <c r="BP23" i="39" s="1"/>
  <c r="BT23" i="39" s="1"/>
  <c r="V22" i="39"/>
  <c r="AB22" i="39" s="1"/>
  <c r="BX22" i="39"/>
  <c r="CA22" i="39" s="1"/>
  <c r="CG22" i="39" s="1"/>
  <c r="R23" i="39"/>
  <c r="AF23" i="39" s="1"/>
  <c r="AR23" i="39" s="1"/>
  <c r="AZ21" i="39"/>
  <c r="BE21" i="39" s="1"/>
  <c r="AH21" i="39"/>
  <c r="AN21" i="39" s="1"/>
  <c r="DB41" i="39"/>
  <c r="J25" i="39"/>
  <c r="AV24" i="39"/>
  <c r="AW24" i="39" s="1"/>
  <c r="AT24" i="39"/>
  <c r="AU24" i="39" s="1"/>
  <c r="BZ24" i="39" s="1"/>
  <c r="P24" i="39"/>
  <c r="Q24" i="39" s="1"/>
  <c r="BM24" i="39"/>
  <c r="BN24" i="39" s="1"/>
  <c r="W24" i="39"/>
  <c r="X24" i="39" s="1"/>
  <c r="AA24" i="39" s="1"/>
  <c r="BK24" i="39"/>
  <c r="BK24" i="52" s="1"/>
  <c r="O24" i="39"/>
  <c r="T24" i="52"/>
  <c r="L26" i="39"/>
  <c r="M25" i="39"/>
  <c r="M25" i="52" s="1"/>
  <c r="BH26" i="39"/>
  <c r="AQ26" i="39"/>
  <c r="BJ24" i="39"/>
  <c r="BJ24" i="52" s="1"/>
  <c r="S24" i="39"/>
  <c r="S24" i="52" s="1"/>
  <c r="U23" i="39"/>
  <c r="U23" i="52" s="1"/>
  <c r="BG26" i="34"/>
  <c r="BI25" i="34"/>
  <c r="S25" i="34"/>
  <c r="U24" i="34"/>
  <c r="AU25" i="34"/>
  <c r="AS25" i="34"/>
  <c r="AT25" i="34" s="1"/>
  <c r="DA42" i="34"/>
  <c r="J26" i="34"/>
  <c r="BL25" i="34"/>
  <c r="BJ25" i="34"/>
  <c r="W25" i="34"/>
  <c r="X25" i="34" s="1"/>
  <c r="P25" i="34"/>
  <c r="L27" i="34"/>
  <c r="M26" i="34"/>
  <c r="AP26" i="34"/>
  <c r="BK24" i="34"/>
  <c r="T26" i="39" l="1"/>
  <c r="N26" i="39"/>
  <c r="T32" i="60"/>
  <c r="N32" i="60"/>
  <c r="T27" i="34"/>
  <c r="N27" i="34"/>
  <c r="N32" i="63"/>
  <c r="T32" i="63"/>
  <c r="T32" i="57"/>
  <c r="N32" i="57"/>
  <c r="AV24" i="52"/>
  <c r="BM24" i="52"/>
  <c r="AG29" i="63"/>
  <c r="AS29" i="63" s="1"/>
  <c r="BN24" i="52"/>
  <c r="V29" i="63"/>
  <c r="AB29" i="63" s="1"/>
  <c r="AW24" i="52"/>
  <c r="BL23" i="52"/>
  <c r="AH28" i="63"/>
  <c r="AN28" i="63" s="1"/>
  <c r="O24" i="52"/>
  <c r="N24" i="52"/>
  <c r="AU24" i="52"/>
  <c r="X24" i="52"/>
  <c r="AA24" i="52" s="1"/>
  <c r="Q24" i="52"/>
  <c r="R23" i="52"/>
  <c r="P24" i="52"/>
  <c r="BW23" i="34"/>
  <c r="BZ23" i="34" s="1"/>
  <c r="CF23" i="34" s="1"/>
  <c r="AE23" i="34"/>
  <c r="AQ23" i="34" s="1"/>
  <c r="AY23" i="34" s="1"/>
  <c r="V23" i="34"/>
  <c r="AB23" i="34" s="1"/>
  <c r="AA30" i="63"/>
  <c r="AF29" i="63"/>
  <c r="AR29" i="63" s="1"/>
  <c r="BP29" i="63"/>
  <c r="BT29" i="63" s="1"/>
  <c r="AG22" i="34"/>
  <c r="AM22" i="34" s="1"/>
  <c r="U30" i="63"/>
  <c r="R24" i="34"/>
  <c r="AF29" i="57"/>
  <c r="AR29" i="57" s="1"/>
  <c r="AA25" i="34"/>
  <c r="BO24" i="34"/>
  <c r="BS24" i="34" s="1"/>
  <c r="O25" i="34"/>
  <c r="BY25" i="34"/>
  <c r="Q25" i="34"/>
  <c r="BM25" i="34"/>
  <c r="AV25" i="34"/>
  <c r="BX16" i="52"/>
  <c r="CA28" i="57"/>
  <c r="CG28" i="57" s="1"/>
  <c r="AS22" i="39"/>
  <c r="AZ22" i="39" s="1"/>
  <c r="BE22" i="39" s="1"/>
  <c r="CA28" i="60"/>
  <c r="CG28" i="60" s="1"/>
  <c r="U30" i="60"/>
  <c r="AG30" i="60" s="1"/>
  <c r="AF29" i="60"/>
  <c r="AR29" i="60" s="1"/>
  <c r="CA28" i="63"/>
  <c r="CG28" i="63" s="1"/>
  <c r="AF14" i="52"/>
  <c r="AR14" i="52" s="1"/>
  <c r="U24" i="39"/>
  <c r="AG24" i="39" s="1"/>
  <c r="BL24" i="39"/>
  <c r="BP24" i="39" s="1"/>
  <c r="BT24" i="39" s="1"/>
  <c r="BL30" i="60"/>
  <c r="BP30" i="60" s="1"/>
  <c r="BT30" i="60" s="1"/>
  <c r="AF17" i="52"/>
  <c r="AR17" i="52" s="1"/>
  <c r="BX15" i="52"/>
  <c r="CA15" i="52" s="1"/>
  <c r="V15" i="52"/>
  <c r="AF15" i="52"/>
  <c r="AR15" i="52" s="1"/>
  <c r="AZ15" i="52" s="1"/>
  <c r="R30" i="63"/>
  <c r="BX29" i="63"/>
  <c r="CA29" i="63" s="1"/>
  <c r="CG29" i="63" s="1"/>
  <c r="AA30" i="57"/>
  <c r="U30" i="57"/>
  <c r="AG30" i="57" s="1"/>
  <c r="BZ30" i="57"/>
  <c r="L33" i="63"/>
  <c r="M32" i="63"/>
  <c r="BH33" i="63"/>
  <c r="AQ33" i="63"/>
  <c r="BL30" i="63"/>
  <c r="J32" i="63"/>
  <c r="AV31" i="63"/>
  <c r="AW31" i="63" s="1"/>
  <c r="BK31" i="63"/>
  <c r="W31" i="63"/>
  <c r="X31" i="63" s="1"/>
  <c r="O31" i="63"/>
  <c r="P31" i="63"/>
  <c r="Q31" i="63" s="1"/>
  <c r="AT31" i="63"/>
  <c r="AU31" i="63" s="1"/>
  <c r="BZ31" i="63" s="1"/>
  <c r="BM31" i="63"/>
  <c r="BN31" i="63" s="1"/>
  <c r="S31" i="63"/>
  <c r="BJ31" i="63"/>
  <c r="AZ28" i="63"/>
  <c r="BE28" i="63" s="1"/>
  <c r="BJ31" i="60"/>
  <c r="S31" i="60"/>
  <c r="AS28" i="60"/>
  <c r="AZ28" i="60" s="1"/>
  <c r="BE28" i="60" s="1"/>
  <c r="AH28" i="60"/>
  <c r="AN28" i="60" s="1"/>
  <c r="R30" i="60"/>
  <c r="AV31" i="60"/>
  <c r="AW31" i="60" s="1"/>
  <c r="J32" i="60"/>
  <c r="W31" i="60"/>
  <c r="X31" i="60" s="1"/>
  <c r="AA31" i="60" s="1"/>
  <c r="BK31" i="60"/>
  <c r="P31" i="60"/>
  <c r="Q31" i="60" s="1"/>
  <c r="O31" i="60"/>
  <c r="AT31" i="60"/>
  <c r="AU31" i="60" s="1"/>
  <c r="BZ31" i="60" s="1"/>
  <c r="BM31" i="60"/>
  <c r="BN31" i="60" s="1"/>
  <c r="BY29" i="60"/>
  <c r="CA29" i="60" s="1"/>
  <c r="CG29" i="60" s="1"/>
  <c r="V29" i="60"/>
  <c r="AB29" i="60" s="1"/>
  <c r="AG29" i="60"/>
  <c r="L33" i="60"/>
  <c r="M32" i="60"/>
  <c r="AQ33" i="60"/>
  <c r="BH33" i="60"/>
  <c r="R30" i="57"/>
  <c r="AF30" i="57" s="1"/>
  <c r="AR30" i="57" s="1"/>
  <c r="BJ31" i="57"/>
  <c r="S31" i="57"/>
  <c r="AG29" i="57"/>
  <c r="BY29" i="57"/>
  <c r="CA29" i="57" s="1"/>
  <c r="CG29" i="57" s="1"/>
  <c r="V29" i="57"/>
  <c r="AB29" i="57" s="1"/>
  <c r="AH28" i="57"/>
  <c r="AN28" i="57" s="1"/>
  <c r="AS28" i="57"/>
  <c r="AZ28" i="57" s="1"/>
  <c r="BE28" i="57" s="1"/>
  <c r="AV31" i="57"/>
  <c r="AW31" i="57" s="1"/>
  <c r="J32" i="57"/>
  <c r="BK31" i="57"/>
  <c r="BM31" i="57"/>
  <c r="BN31" i="57" s="1"/>
  <c r="W31" i="57"/>
  <c r="X31" i="57" s="1"/>
  <c r="O31" i="57"/>
  <c r="P31" i="57"/>
  <c r="Q31" i="57" s="1"/>
  <c r="AT31" i="57"/>
  <c r="AU31" i="57" s="1"/>
  <c r="BL30" i="57"/>
  <c r="BH32" i="57"/>
  <c r="L33" i="57"/>
  <c r="M32" i="57"/>
  <c r="AQ32" i="57"/>
  <c r="BP18" i="52"/>
  <c r="BT18" i="52" s="1"/>
  <c r="BZ17" i="52"/>
  <c r="BY17" i="52"/>
  <c r="AG17" i="52"/>
  <c r="AS17" i="52" s="1"/>
  <c r="AG16" i="52"/>
  <c r="BY16" i="52"/>
  <c r="V16" i="52"/>
  <c r="BY14" i="52"/>
  <c r="CA14" i="52" s="1"/>
  <c r="AG14" i="52"/>
  <c r="V14" i="52"/>
  <c r="BX23" i="39"/>
  <c r="AQ28" i="52"/>
  <c r="L28" i="52"/>
  <c r="DB43" i="52"/>
  <c r="J27" i="52"/>
  <c r="BH28" i="52"/>
  <c r="AG23" i="39"/>
  <c r="BY23" i="39"/>
  <c r="V23" i="39"/>
  <c r="AB23" i="39" s="1"/>
  <c r="AQ27" i="39"/>
  <c r="BJ25" i="39"/>
  <c r="BJ25" i="52" s="1"/>
  <c r="S25" i="39"/>
  <c r="S25" i="52" s="1"/>
  <c r="DB42" i="39"/>
  <c r="J26" i="39"/>
  <c r="AV25" i="39"/>
  <c r="AW25" i="39" s="1"/>
  <c r="AT25" i="39"/>
  <c r="AU25" i="39" s="1"/>
  <c r="BZ25" i="39" s="1"/>
  <c r="T25" i="52"/>
  <c r="P25" i="39"/>
  <c r="Q25" i="39" s="1"/>
  <c r="O25" i="39"/>
  <c r="BK25" i="39"/>
  <c r="BK25" i="52" s="1"/>
  <c r="BM25" i="39"/>
  <c r="BN25" i="39" s="1"/>
  <c r="W25" i="39"/>
  <c r="X25" i="39" s="1"/>
  <c r="AA25" i="39" s="1"/>
  <c r="R24" i="39"/>
  <c r="BH27" i="39"/>
  <c r="L27" i="39"/>
  <c r="M26" i="39"/>
  <c r="M26" i="52" s="1"/>
  <c r="U25" i="34"/>
  <c r="L28" i="34"/>
  <c r="M27" i="34"/>
  <c r="BI26" i="34"/>
  <c r="S26" i="34"/>
  <c r="DA43" i="34"/>
  <c r="AU26" i="34"/>
  <c r="AS26" i="34"/>
  <c r="AT26" i="34" s="1"/>
  <c r="P26" i="34"/>
  <c r="J27" i="34"/>
  <c r="BL26" i="34"/>
  <c r="BJ26" i="34"/>
  <c r="W26" i="34"/>
  <c r="X26" i="34" s="1"/>
  <c r="BG27" i="34"/>
  <c r="BK25" i="34"/>
  <c r="AP27" i="34"/>
  <c r="AF24" i="34"/>
  <c r="BX24" i="34"/>
  <c r="P25" i="52" l="1"/>
  <c r="N33" i="60"/>
  <c r="T33" i="60"/>
  <c r="N28" i="34"/>
  <c r="T28" i="34"/>
  <c r="N27" i="39"/>
  <c r="T27" i="39"/>
  <c r="N33" i="57"/>
  <c r="T33" i="57"/>
  <c r="N33" i="63"/>
  <c r="T33" i="63"/>
  <c r="Q25" i="52"/>
  <c r="X25" i="52"/>
  <c r="AA25" i="52" s="1"/>
  <c r="AH29" i="63"/>
  <c r="AN29" i="63" s="1"/>
  <c r="N25" i="52"/>
  <c r="BM25" i="52"/>
  <c r="U24" i="52"/>
  <c r="AW25" i="52"/>
  <c r="O25" i="52"/>
  <c r="AU25" i="52"/>
  <c r="BL24" i="52"/>
  <c r="BN25" i="52"/>
  <c r="R24" i="52"/>
  <c r="AV25" i="52"/>
  <c r="AG23" i="34"/>
  <c r="AM23" i="34" s="1"/>
  <c r="AG30" i="63"/>
  <c r="AS30" i="63" s="1"/>
  <c r="AA31" i="63"/>
  <c r="BY30" i="63"/>
  <c r="AF30" i="63"/>
  <c r="AR30" i="63" s="1"/>
  <c r="BP30" i="63"/>
  <c r="BT30" i="63" s="1"/>
  <c r="AZ29" i="63"/>
  <c r="BE29" i="63" s="1"/>
  <c r="BW24" i="34"/>
  <c r="BZ24" i="34" s="1"/>
  <c r="CF24" i="34" s="1"/>
  <c r="V24" i="34"/>
  <c r="AB24" i="34" s="1"/>
  <c r="AE24" i="34"/>
  <c r="AQ24" i="34" s="1"/>
  <c r="CA16" i="52"/>
  <c r="R25" i="34"/>
  <c r="AA26" i="34"/>
  <c r="O26" i="34"/>
  <c r="AV26" i="34"/>
  <c r="Q26" i="34"/>
  <c r="BY26" i="34"/>
  <c r="BO25" i="34"/>
  <c r="BS25" i="34" s="1"/>
  <c r="BM26" i="34"/>
  <c r="BX25" i="34"/>
  <c r="BY30" i="60"/>
  <c r="BY30" i="57"/>
  <c r="BY24" i="39"/>
  <c r="BX30" i="63"/>
  <c r="CA23" i="39"/>
  <c r="CG23" i="39" s="1"/>
  <c r="AH15" i="52"/>
  <c r="AT15" i="52" s="1"/>
  <c r="V24" i="39"/>
  <c r="AB24" i="39" s="1"/>
  <c r="V30" i="63"/>
  <c r="AB30" i="63" s="1"/>
  <c r="BL31" i="63"/>
  <c r="V30" i="57"/>
  <c r="AB30" i="57" s="1"/>
  <c r="BX30" i="57"/>
  <c r="U31" i="63"/>
  <c r="V18" i="52"/>
  <c r="AB18" i="52" s="1"/>
  <c r="BL31" i="60"/>
  <c r="BP31" i="60" s="1"/>
  <c r="BT31" i="60" s="1"/>
  <c r="BX17" i="52"/>
  <c r="CA17" i="52" s="1"/>
  <c r="CG17" i="52" s="1"/>
  <c r="V17" i="52"/>
  <c r="AB17" i="52" s="1"/>
  <c r="BP30" i="57"/>
  <c r="BT30" i="57" s="1"/>
  <c r="AA31" i="57"/>
  <c r="BZ31" i="57"/>
  <c r="J33" i="63"/>
  <c r="AV32" i="63"/>
  <c r="AW32" i="63" s="1"/>
  <c r="BM32" i="63"/>
  <c r="BN32" i="63" s="1"/>
  <c r="BK32" i="63"/>
  <c r="W32" i="63"/>
  <c r="X32" i="63" s="1"/>
  <c r="O32" i="63"/>
  <c r="P32" i="63"/>
  <c r="Q32" i="63" s="1"/>
  <c r="AT32" i="63"/>
  <c r="AU32" i="63" s="1"/>
  <c r="BZ32" i="63" s="1"/>
  <c r="S32" i="63"/>
  <c r="BJ32" i="63"/>
  <c r="AQ34" i="63"/>
  <c r="BH34" i="63"/>
  <c r="L34" i="63"/>
  <c r="M34" i="63" s="1"/>
  <c r="M33" i="63"/>
  <c r="R31" i="63"/>
  <c r="R31" i="60"/>
  <c r="BH34" i="60"/>
  <c r="BJ32" i="60"/>
  <c r="S32" i="60"/>
  <c r="AH29" i="60"/>
  <c r="AN29" i="60" s="1"/>
  <c r="AS29" i="60"/>
  <c r="AZ29" i="60" s="1"/>
  <c r="BE29" i="60" s="1"/>
  <c r="AV32" i="60"/>
  <c r="AW32" i="60" s="1"/>
  <c r="J33" i="60"/>
  <c r="BM32" i="60"/>
  <c r="BN32" i="60" s="1"/>
  <c r="W32" i="60"/>
  <c r="X32" i="60" s="1"/>
  <c r="AA32" i="60" s="1"/>
  <c r="BK32" i="60"/>
  <c r="P32" i="60"/>
  <c r="Q32" i="60" s="1"/>
  <c r="O32" i="60"/>
  <c r="AT32" i="60"/>
  <c r="AU32" i="60" s="1"/>
  <c r="BZ32" i="60" s="1"/>
  <c r="AS30" i="60"/>
  <c r="U31" i="60"/>
  <c r="AQ34" i="60"/>
  <c r="L34" i="60"/>
  <c r="M34" i="60" s="1"/>
  <c r="M33" i="60"/>
  <c r="AF30" i="60"/>
  <c r="AR30" i="60" s="1"/>
  <c r="BX30" i="60"/>
  <c r="V30" i="60"/>
  <c r="AB30" i="60" s="1"/>
  <c r="R31" i="57"/>
  <c r="AF31" i="57" s="1"/>
  <c r="AR31" i="57" s="1"/>
  <c r="BJ32" i="57"/>
  <c r="S32" i="57"/>
  <c r="AV32" i="57"/>
  <c r="AW32" i="57" s="1"/>
  <c r="J33" i="57"/>
  <c r="O32" i="57"/>
  <c r="P32" i="57"/>
  <c r="Q32" i="57" s="1"/>
  <c r="AT32" i="57"/>
  <c r="AU32" i="57" s="1"/>
  <c r="BK32" i="57"/>
  <c r="BM32" i="57"/>
  <c r="BN32" i="57" s="1"/>
  <c r="W32" i="57"/>
  <c r="X32" i="57" s="1"/>
  <c r="AS29" i="57"/>
  <c r="AZ29" i="57" s="1"/>
  <c r="BE29" i="57" s="1"/>
  <c r="AH29" i="57"/>
  <c r="AN29" i="57" s="1"/>
  <c r="BL31" i="57"/>
  <c r="AH30" i="57"/>
  <c r="AN30" i="57" s="1"/>
  <c r="AS30" i="57"/>
  <c r="AZ30" i="57" s="1"/>
  <c r="BE30" i="57" s="1"/>
  <c r="AQ33" i="57"/>
  <c r="L34" i="57"/>
  <c r="M34" i="57" s="1"/>
  <c r="M33" i="57"/>
  <c r="BH33" i="57"/>
  <c r="U31" i="57"/>
  <c r="AH17" i="52"/>
  <c r="AZ17" i="52"/>
  <c r="BE17" i="52" s="1"/>
  <c r="BY18" i="52"/>
  <c r="AG18" i="52"/>
  <c r="AS18" i="52" s="1"/>
  <c r="BZ18" i="52"/>
  <c r="AS14" i="52"/>
  <c r="AZ14" i="52" s="1"/>
  <c r="AH14" i="52"/>
  <c r="AT14" i="52" s="1"/>
  <c r="AS16" i="52"/>
  <c r="AZ16" i="52" s="1"/>
  <c r="AH16" i="52"/>
  <c r="AT16" i="52" s="1"/>
  <c r="BP19" i="52"/>
  <c r="BT19" i="52" s="1"/>
  <c r="L29" i="52"/>
  <c r="AQ29" i="52"/>
  <c r="BH29" i="52"/>
  <c r="DB49" i="52"/>
  <c r="J28" i="52"/>
  <c r="U25" i="39"/>
  <c r="BY25" i="39" s="1"/>
  <c r="AS24" i="39"/>
  <c r="L28" i="39"/>
  <c r="M27" i="39"/>
  <c r="M27" i="52" s="1"/>
  <c r="BH28" i="39"/>
  <c r="AF24" i="39"/>
  <c r="AR24" i="39" s="1"/>
  <c r="BX24" i="39"/>
  <c r="AQ28" i="39"/>
  <c r="BL25" i="39"/>
  <c r="BP25" i="39" s="1"/>
  <c r="BT25" i="39" s="1"/>
  <c r="BJ26" i="39"/>
  <c r="BJ26" i="52" s="1"/>
  <c r="S26" i="39"/>
  <c r="S26" i="52" s="1"/>
  <c r="DB43" i="39"/>
  <c r="AV26" i="39"/>
  <c r="AW26" i="39" s="1"/>
  <c r="AT26" i="39"/>
  <c r="AU26" i="39" s="1"/>
  <c r="BZ26" i="39" s="1"/>
  <c r="J27" i="39"/>
  <c r="BK26" i="39"/>
  <c r="BK26" i="52" s="1"/>
  <c r="BM26" i="39"/>
  <c r="BN26" i="39" s="1"/>
  <c r="T26" i="52"/>
  <c r="W26" i="39"/>
  <c r="X26" i="39" s="1"/>
  <c r="AA26" i="39" s="1"/>
  <c r="O26" i="39"/>
  <c r="P26" i="39"/>
  <c r="Q26" i="39" s="1"/>
  <c r="AS23" i="39"/>
  <c r="AZ23" i="39" s="1"/>
  <c r="BE23" i="39" s="1"/>
  <c r="AH23" i="39"/>
  <c r="AN23" i="39" s="1"/>
  <c r="R25" i="39"/>
  <c r="AF25" i="34"/>
  <c r="AR25" i="34" s="1"/>
  <c r="BD23" i="34"/>
  <c r="AR24" i="34"/>
  <c r="AP28" i="34"/>
  <c r="BG28" i="34"/>
  <c r="AU27" i="34"/>
  <c r="AS27" i="34"/>
  <c r="AT27" i="34" s="1"/>
  <c r="P27" i="34"/>
  <c r="DA49" i="34"/>
  <c r="J28" i="34"/>
  <c r="BL27" i="34"/>
  <c r="BJ27" i="34"/>
  <c r="W27" i="34"/>
  <c r="X27" i="34" s="1"/>
  <c r="L29" i="34"/>
  <c r="M28" i="34"/>
  <c r="U26" i="34"/>
  <c r="BK26" i="34"/>
  <c r="BI27" i="34"/>
  <c r="S27" i="34"/>
  <c r="T28" i="39" l="1"/>
  <c r="N28" i="39"/>
  <c r="T29" i="34"/>
  <c r="N29" i="34"/>
  <c r="N34" i="60"/>
  <c r="T34" i="60"/>
  <c r="T34" i="63"/>
  <c r="N34" i="63"/>
  <c r="N34" i="57"/>
  <c r="T34" i="57"/>
  <c r="P26" i="52"/>
  <c r="BM26" i="52"/>
  <c r="AZ30" i="63"/>
  <c r="BE30" i="63" s="1"/>
  <c r="CA30" i="63"/>
  <c r="CG30" i="63" s="1"/>
  <c r="Q26" i="52"/>
  <c r="U25" i="52"/>
  <c r="R25" i="52"/>
  <c r="N26" i="52"/>
  <c r="BL25" i="52"/>
  <c r="AH30" i="63"/>
  <c r="AN30" i="63" s="1"/>
  <c r="BN26" i="52"/>
  <c r="AW26" i="52"/>
  <c r="AU26" i="52"/>
  <c r="X26" i="52"/>
  <c r="AA26" i="52" s="1"/>
  <c r="O26" i="52"/>
  <c r="AV26" i="52"/>
  <c r="AA32" i="63"/>
  <c r="BP31" i="63"/>
  <c r="BT31" i="63" s="1"/>
  <c r="AG31" i="63"/>
  <c r="AS31" i="63" s="1"/>
  <c r="AE25" i="34"/>
  <c r="AQ25" i="34" s="1"/>
  <c r="AY25" i="34" s="1"/>
  <c r="BD25" i="34" s="1"/>
  <c r="AG24" i="34"/>
  <c r="AM24" i="34" s="1"/>
  <c r="AY24" i="34"/>
  <c r="BD24" i="34" s="1"/>
  <c r="BW25" i="34"/>
  <c r="BZ25" i="34" s="1"/>
  <c r="CF25" i="34" s="1"/>
  <c r="V25" i="34"/>
  <c r="AB25" i="34" s="1"/>
  <c r="CA30" i="60"/>
  <c r="CG30" i="60" s="1"/>
  <c r="CA30" i="57"/>
  <c r="CG30" i="57" s="1"/>
  <c r="Q27" i="34"/>
  <c r="BO26" i="34"/>
  <c r="BS26" i="34" s="1"/>
  <c r="AA27" i="34"/>
  <c r="BY27" i="34"/>
  <c r="BM27" i="34"/>
  <c r="R26" i="34"/>
  <c r="O27" i="34"/>
  <c r="AV27" i="34"/>
  <c r="AN17" i="52"/>
  <c r="AT17" i="52"/>
  <c r="AG25" i="39"/>
  <c r="AS25" i="39" s="1"/>
  <c r="CA24" i="39"/>
  <c r="CG24" i="39" s="1"/>
  <c r="U32" i="63"/>
  <c r="BY32" i="63" s="1"/>
  <c r="BY31" i="63"/>
  <c r="AZ24" i="39"/>
  <c r="BE24" i="39" s="1"/>
  <c r="BL32" i="60"/>
  <c r="BP32" i="60" s="1"/>
  <c r="BT32" i="60" s="1"/>
  <c r="BL32" i="63"/>
  <c r="BX31" i="57"/>
  <c r="BX19" i="52"/>
  <c r="AF18" i="52"/>
  <c r="AR18" i="52" s="1"/>
  <c r="AZ18" i="52" s="1"/>
  <c r="BE18" i="52" s="1"/>
  <c r="BX18" i="52"/>
  <c r="CA18" i="52" s="1"/>
  <c r="CG18" i="52" s="1"/>
  <c r="AZ30" i="60"/>
  <c r="BE30" i="60" s="1"/>
  <c r="R32" i="60"/>
  <c r="BX32" i="60" s="1"/>
  <c r="BZ32" i="57"/>
  <c r="BP31" i="57"/>
  <c r="BT31" i="57" s="1"/>
  <c r="AA32" i="57"/>
  <c r="BX31" i="63"/>
  <c r="AF31" i="63"/>
  <c r="AR31" i="63" s="1"/>
  <c r="S33" i="63"/>
  <c r="BJ33" i="63"/>
  <c r="J34" i="63"/>
  <c r="BK33" i="63"/>
  <c r="W33" i="63"/>
  <c r="X33" i="63" s="1"/>
  <c r="O33" i="63"/>
  <c r="P33" i="63"/>
  <c r="Q33" i="63" s="1"/>
  <c r="BM33" i="63"/>
  <c r="BN33" i="63" s="1"/>
  <c r="AV33" i="63"/>
  <c r="AW33" i="63" s="1"/>
  <c r="AT33" i="63"/>
  <c r="AU33" i="63" s="1"/>
  <c r="BZ33" i="63" s="1"/>
  <c r="V31" i="63"/>
  <c r="AB31" i="63" s="1"/>
  <c r="S34" i="63"/>
  <c r="BJ34" i="63"/>
  <c r="M36" i="63"/>
  <c r="K18" i="75" s="1"/>
  <c r="K20" i="75" s="1"/>
  <c r="R32" i="63"/>
  <c r="BJ33" i="60"/>
  <c r="S33" i="60"/>
  <c r="BY31" i="60"/>
  <c r="V31" i="60"/>
  <c r="AB31" i="60" s="1"/>
  <c r="AG31" i="60"/>
  <c r="J34" i="60"/>
  <c r="W33" i="60"/>
  <c r="X33" i="60" s="1"/>
  <c r="AA33" i="60" s="1"/>
  <c r="BK33" i="60"/>
  <c r="BM33" i="60"/>
  <c r="BN33" i="60" s="1"/>
  <c r="AT33" i="60"/>
  <c r="AU33" i="60" s="1"/>
  <c r="BZ33" i="60" s="1"/>
  <c r="P33" i="60"/>
  <c r="Q33" i="60" s="1"/>
  <c r="O33" i="60"/>
  <c r="AV33" i="60"/>
  <c r="AW33" i="60" s="1"/>
  <c r="AF31" i="60"/>
  <c r="AR31" i="60" s="1"/>
  <c r="BX31" i="60"/>
  <c r="AH30" i="60"/>
  <c r="AN30" i="60" s="1"/>
  <c r="U32" i="60"/>
  <c r="S34" i="60"/>
  <c r="BJ34" i="60"/>
  <c r="M36" i="60"/>
  <c r="K13" i="75" s="1"/>
  <c r="BY31" i="57"/>
  <c r="V31" i="57"/>
  <c r="AB31" i="57" s="1"/>
  <c r="AG31" i="57"/>
  <c r="BJ33" i="57"/>
  <c r="S33" i="57"/>
  <c r="BL32" i="57"/>
  <c r="BH34" i="57"/>
  <c r="BJ34" i="57"/>
  <c r="S34" i="57"/>
  <c r="M36" i="57"/>
  <c r="K11" i="75" s="1"/>
  <c r="AQ34" i="57"/>
  <c r="J34" i="57"/>
  <c r="BK33" i="57"/>
  <c r="BM33" i="57"/>
  <c r="BN33" i="57" s="1"/>
  <c r="W33" i="57"/>
  <c r="X33" i="57" s="1"/>
  <c r="O33" i="57"/>
  <c r="P33" i="57"/>
  <c r="Q33" i="57" s="1"/>
  <c r="AT33" i="57"/>
  <c r="AU33" i="57" s="1"/>
  <c r="AV33" i="57"/>
  <c r="AW33" i="57" s="1"/>
  <c r="R32" i="57"/>
  <c r="U32" i="57"/>
  <c r="BZ19" i="52"/>
  <c r="BP20" i="52"/>
  <c r="BT20" i="52" s="1"/>
  <c r="AG19" i="52"/>
  <c r="AS19" i="52" s="1"/>
  <c r="BY19" i="52"/>
  <c r="DB50" i="52"/>
  <c r="J29" i="52"/>
  <c r="BH30" i="52"/>
  <c r="AQ30" i="52"/>
  <c r="L30" i="52"/>
  <c r="U27" i="34"/>
  <c r="U26" i="39"/>
  <c r="BY26" i="39" s="1"/>
  <c r="J28" i="39"/>
  <c r="AV27" i="39"/>
  <c r="AW27" i="39" s="1"/>
  <c r="AT27" i="39"/>
  <c r="AU27" i="39" s="1"/>
  <c r="BZ27" i="39" s="1"/>
  <c r="DB49" i="39"/>
  <c r="W27" i="39"/>
  <c r="X27" i="39" s="1"/>
  <c r="AA27" i="39" s="1"/>
  <c r="N27" i="52"/>
  <c r="P27" i="39"/>
  <c r="P27" i="52" s="1"/>
  <c r="BK27" i="39"/>
  <c r="BK27" i="52" s="1"/>
  <c r="BM27" i="39"/>
  <c r="BN27" i="39" s="1"/>
  <c r="T27" i="52"/>
  <c r="BX25" i="39"/>
  <c r="CA25" i="39" s="1"/>
  <c r="CG25" i="39" s="1"/>
  <c r="AF25" i="39"/>
  <c r="AR25" i="39" s="1"/>
  <c r="BJ27" i="39"/>
  <c r="BJ27" i="52" s="1"/>
  <c r="S27" i="39"/>
  <c r="Q27" i="39"/>
  <c r="BL26" i="39"/>
  <c r="BP26" i="39" s="1"/>
  <c r="BT26" i="39" s="1"/>
  <c r="V25" i="39"/>
  <c r="AB25" i="39" s="1"/>
  <c r="AH24" i="39"/>
  <c r="AN24" i="39" s="1"/>
  <c r="AQ29" i="39"/>
  <c r="BH29" i="39"/>
  <c r="L29" i="39"/>
  <c r="M28" i="39"/>
  <c r="M28" i="52" s="1"/>
  <c r="R26" i="39"/>
  <c r="BI28" i="34"/>
  <c r="S28" i="34"/>
  <c r="BK27" i="34"/>
  <c r="BX26" i="34"/>
  <c r="AF26" i="34"/>
  <c r="L30" i="34"/>
  <c r="M29" i="34"/>
  <c r="DA50" i="34"/>
  <c r="AU28" i="34"/>
  <c r="AS28" i="34"/>
  <c r="AT28" i="34" s="1"/>
  <c r="P28" i="34"/>
  <c r="J29" i="34"/>
  <c r="BL28" i="34"/>
  <c r="BJ28" i="34"/>
  <c r="W28" i="34"/>
  <c r="X28" i="34" s="1"/>
  <c r="BG29" i="34"/>
  <c r="AP29" i="34"/>
  <c r="N30" i="34" l="1"/>
  <c r="T30" i="34"/>
  <c r="T29" i="39"/>
  <c r="N29" i="39"/>
  <c r="AW27" i="52"/>
  <c r="Q27" i="52"/>
  <c r="AG25" i="34"/>
  <c r="AM25" i="34" s="1"/>
  <c r="U27" i="39"/>
  <c r="U27" i="52" s="1"/>
  <c r="BN27" i="52"/>
  <c r="BM27" i="52"/>
  <c r="U26" i="52"/>
  <c r="S27" i="52"/>
  <c r="AU27" i="52"/>
  <c r="BL26" i="52"/>
  <c r="R26" i="52"/>
  <c r="AV27" i="52"/>
  <c r="X27" i="52"/>
  <c r="AA27" i="52" s="1"/>
  <c r="BP32" i="63"/>
  <c r="BT32" i="63" s="1"/>
  <c r="AG32" i="63"/>
  <c r="AS32" i="63" s="1"/>
  <c r="AA33" i="63"/>
  <c r="BW26" i="34"/>
  <c r="BZ26" i="34" s="1"/>
  <c r="CF26" i="34" s="1"/>
  <c r="R27" i="34"/>
  <c r="O27" i="39"/>
  <c r="R27" i="39" s="1"/>
  <c r="BX27" i="39" s="1"/>
  <c r="CA31" i="63"/>
  <c r="CG31" i="63" s="1"/>
  <c r="V26" i="34"/>
  <c r="AB26" i="34" s="1"/>
  <c r="Q28" i="34"/>
  <c r="BM28" i="34"/>
  <c r="AE26" i="34"/>
  <c r="AQ26" i="34" s="1"/>
  <c r="BY28" i="34"/>
  <c r="BO27" i="34"/>
  <c r="BS27" i="34" s="1"/>
  <c r="AF27" i="34"/>
  <c r="AR27" i="34" s="1"/>
  <c r="AA28" i="34"/>
  <c r="O28" i="34"/>
  <c r="AV28" i="34"/>
  <c r="V32" i="63"/>
  <c r="AB32" i="63" s="1"/>
  <c r="BX20" i="52"/>
  <c r="AG26" i="39"/>
  <c r="AS26" i="39" s="1"/>
  <c r="BX27" i="34"/>
  <c r="CA31" i="57"/>
  <c r="CG31" i="57" s="1"/>
  <c r="AF32" i="60"/>
  <c r="AR32" i="60" s="1"/>
  <c r="AF19" i="52"/>
  <c r="AR19" i="52" s="1"/>
  <c r="AZ19" i="52" s="1"/>
  <c r="BE19" i="52" s="1"/>
  <c r="V19" i="52"/>
  <c r="AB19" i="52" s="1"/>
  <c r="AH18" i="52"/>
  <c r="AT18" i="52" s="1"/>
  <c r="CA31" i="60"/>
  <c r="CG31" i="60" s="1"/>
  <c r="AH31" i="63"/>
  <c r="AN31" i="63" s="1"/>
  <c r="BZ33" i="57"/>
  <c r="R33" i="57"/>
  <c r="BX33" i="57" s="1"/>
  <c r="AA33" i="57"/>
  <c r="BP32" i="57"/>
  <c r="BT32" i="57" s="1"/>
  <c r="BX32" i="63"/>
  <c r="CA32" i="63" s="1"/>
  <c r="CG32" i="63" s="1"/>
  <c r="AF32" i="63"/>
  <c r="AR32" i="63" s="1"/>
  <c r="BL33" i="63"/>
  <c r="AZ31" i="63"/>
  <c r="BE31" i="63" s="1"/>
  <c r="BJ36" i="63"/>
  <c r="BM34" i="63"/>
  <c r="BN34" i="63" s="1"/>
  <c r="U34" i="63"/>
  <c r="AT34" i="63"/>
  <c r="AU34" i="63" s="1"/>
  <c r="BZ34" i="63" s="1"/>
  <c r="BK34" i="63"/>
  <c r="BL34" i="63" s="1"/>
  <c r="W34" i="63"/>
  <c r="X34" i="63" s="1"/>
  <c r="O34" i="63"/>
  <c r="P34" i="63"/>
  <c r="Q34" i="63" s="1"/>
  <c r="AV34" i="63"/>
  <c r="AW34" i="63" s="1"/>
  <c r="R33" i="63"/>
  <c r="U33" i="63"/>
  <c r="AH31" i="60"/>
  <c r="AN31" i="60" s="1"/>
  <c r="AS31" i="60"/>
  <c r="AZ31" i="60" s="1"/>
  <c r="BE31" i="60" s="1"/>
  <c r="BL33" i="60"/>
  <c r="BP33" i="60" s="1"/>
  <c r="BT33" i="60" s="1"/>
  <c r="BJ36" i="60"/>
  <c r="BY32" i="60"/>
  <c r="CA32" i="60" s="1"/>
  <c r="CG32" i="60" s="1"/>
  <c r="V32" i="60"/>
  <c r="AB32" i="60" s="1"/>
  <c r="AG32" i="60"/>
  <c r="W34" i="60"/>
  <c r="X34" i="60" s="1"/>
  <c r="AA34" i="60" s="1"/>
  <c r="BM34" i="60"/>
  <c r="BN34" i="60" s="1"/>
  <c r="AT34" i="60"/>
  <c r="AU34" i="60" s="1"/>
  <c r="BZ34" i="60" s="1"/>
  <c r="BK34" i="60"/>
  <c r="BL34" i="60" s="1"/>
  <c r="P34" i="60"/>
  <c r="Q34" i="60" s="1"/>
  <c r="O34" i="60"/>
  <c r="AV34" i="60"/>
  <c r="AW34" i="60" s="1"/>
  <c r="U34" i="60"/>
  <c r="R33" i="60"/>
  <c r="U33" i="60"/>
  <c r="BY32" i="57"/>
  <c r="V32" i="57"/>
  <c r="AB32" i="57" s="1"/>
  <c r="AG32" i="57"/>
  <c r="O34" i="57"/>
  <c r="P34" i="57"/>
  <c r="Q34" i="57" s="1"/>
  <c r="BK34" i="57"/>
  <c r="BL34" i="57" s="1"/>
  <c r="BM34" i="57"/>
  <c r="BN34" i="57" s="1"/>
  <c r="U34" i="57"/>
  <c r="W34" i="57"/>
  <c r="X34" i="57" s="1"/>
  <c r="AV34" i="57"/>
  <c r="AW34" i="57" s="1"/>
  <c r="AT34" i="57"/>
  <c r="AU34" i="57" s="1"/>
  <c r="AH31" i="57"/>
  <c r="AN31" i="57" s="1"/>
  <c r="AS31" i="57"/>
  <c r="AZ31" i="57" s="1"/>
  <c r="BE31" i="57" s="1"/>
  <c r="U33" i="57"/>
  <c r="AF32" i="57"/>
  <c r="AR32" i="57" s="1"/>
  <c r="BX32" i="57"/>
  <c r="BJ36" i="57"/>
  <c r="BL33" i="57"/>
  <c r="CA19" i="52"/>
  <c r="CG19" i="52" s="1"/>
  <c r="BP21" i="52"/>
  <c r="BT21" i="52" s="1"/>
  <c r="BZ20" i="52"/>
  <c r="BY20" i="52"/>
  <c r="AG20" i="52"/>
  <c r="AS20" i="52" s="1"/>
  <c r="L31" i="52"/>
  <c r="AQ31" i="52"/>
  <c r="BH31" i="52"/>
  <c r="J30" i="52"/>
  <c r="DB51" i="52"/>
  <c r="AF26" i="39"/>
  <c r="AR26" i="39" s="1"/>
  <c r="BX26" i="39"/>
  <c r="CA26" i="39" s="1"/>
  <c r="CG26" i="39" s="1"/>
  <c r="L30" i="39"/>
  <c r="M29" i="39"/>
  <c r="M29" i="52" s="1"/>
  <c r="AQ30" i="39"/>
  <c r="S28" i="39"/>
  <c r="S28" i="52" s="1"/>
  <c r="BJ28" i="39"/>
  <c r="BJ28" i="52" s="1"/>
  <c r="DB50" i="39"/>
  <c r="J29" i="39"/>
  <c r="AV28" i="39"/>
  <c r="AW28" i="39" s="1"/>
  <c r="W28" i="39"/>
  <c r="X28" i="39" s="1"/>
  <c r="AA28" i="39" s="1"/>
  <c r="BK28" i="39"/>
  <c r="BK28" i="52" s="1"/>
  <c r="BM28" i="39"/>
  <c r="BN28" i="39" s="1"/>
  <c r="T28" i="52"/>
  <c r="O28" i="39"/>
  <c r="P28" i="39"/>
  <c r="Q28" i="39" s="1"/>
  <c r="AT28" i="39"/>
  <c r="AU28" i="39" s="1"/>
  <c r="BZ28" i="39" s="1"/>
  <c r="AH25" i="39"/>
  <c r="AN25" i="39" s="1"/>
  <c r="BL27" i="39"/>
  <c r="BP27" i="39" s="1"/>
  <c r="BT27" i="39" s="1"/>
  <c r="BH30" i="39"/>
  <c r="V26" i="39"/>
  <c r="AB26" i="39" s="1"/>
  <c r="AZ25" i="39"/>
  <c r="BE25" i="39" s="1"/>
  <c r="BK28" i="34"/>
  <c r="BI29" i="34"/>
  <c r="S29" i="34"/>
  <c r="AR26" i="34"/>
  <c r="AP30" i="34"/>
  <c r="BG30" i="34"/>
  <c r="J30" i="34"/>
  <c r="AU29" i="34"/>
  <c r="AS29" i="34"/>
  <c r="AT29" i="34" s="1"/>
  <c r="P29" i="34"/>
  <c r="DA51" i="34"/>
  <c r="BL29" i="34"/>
  <c r="BJ29" i="34"/>
  <c r="W29" i="34"/>
  <c r="X29" i="34" s="1"/>
  <c r="L31" i="34"/>
  <c r="M30" i="34"/>
  <c r="U28" i="34"/>
  <c r="N31" i="34" l="1"/>
  <c r="T31" i="34"/>
  <c r="T30" i="39"/>
  <c r="N30" i="39"/>
  <c r="Q28" i="52"/>
  <c r="BN28" i="52"/>
  <c r="AU28" i="52"/>
  <c r="BY27" i="39"/>
  <c r="CA27" i="39" s="1"/>
  <c r="CG27" i="39" s="1"/>
  <c r="AG27" i="39"/>
  <c r="AS27" i="39" s="1"/>
  <c r="BL27" i="52"/>
  <c r="N28" i="52"/>
  <c r="AV28" i="52"/>
  <c r="AW28" i="52"/>
  <c r="O27" i="52"/>
  <c r="O28" i="52"/>
  <c r="R27" i="52"/>
  <c r="X28" i="52"/>
  <c r="AA28" i="52" s="1"/>
  <c r="P28" i="52"/>
  <c r="BM28" i="52"/>
  <c r="AF33" i="57"/>
  <c r="AR33" i="57" s="1"/>
  <c r="AA34" i="63"/>
  <c r="BP33" i="63"/>
  <c r="BT33" i="63" s="1"/>
  <c r="BW27" i="34"/>
  <c r="BZ27" i="34" s="1"/>
  <c r="CF27" i="34" s="1"/>
  <c r="V27" i="34"/>
  <c r="AB27" i="34" s="1"/>
  <c r="AE27" i="34"/>
  <c r="AQ27" i="34" s="1"/>
  <c r="AY27" i="34" s="1"/>
  <c r="BD27" i="34" s="1"/>
  <c r="AY26" i="34"/>
  <c r="BD26" i="34" s="1"/>
  <c r="BY29" i="34"/>
  <c r="AA29" i="34"/>
  <c r="O29" i="34"/>
  <c r="AV29" i="34"/>
  <c r="BO28" i="34"/>
  <c r="BS28" i="34" s="1"/>
  <c r="Q29" i="34"/>
  <c r="AG26" i="34"/>
  <c r="AM26" i="34" s="1"/>
  <c r="R28" i="34"/>
  <c r="BM29" i="34"/>
  <c r="V20" i="52"/>
  <c r="AB20" i="52" s="1"/>
  <c r="BP34" i="60"/>
  <c r="BP36" i="60" s="1"/>
  <c r="AF27" i="39"/>
  <c r="AR27" i="39" s="1"/>
  <c r="AF20" i="52"/>
  <c r="AR20" i="52" s="1"/>
  <c r="AZ20" i="52" s="1"/>
  <c r="BE20" i="52" s="1"/>
  <c r="V21" i="52"/>
  <c r="AB21" i="52" s="1"/>
  <c r="AN18" i="52"/>
  <c r="AH19" i="52"/>
  <c r="CA32" i="57"/>
  <c r="CG32" i="57" s="1"/>
  <c r="BP33" i="57"/>
  <c r="BT33" i="57" s="1"/>
  <c r="BZ34" i="57"/>
  <c r="BP34" i="57"/>
  <c r="BT34" i="57" s="1"/>
  <c r="R34" i="57"/>
  <c r="V34" i="57" s="1"/>
  <c r="AA34" i="57"/>
  <c r="AG34" i="63"/>
  <c r="BY34" i="63"/>
  <c r="BX33" i="63"/>
  <c r="AF33" i="63"/>
  <c r="AR33" i="63" s="1"/>
  <c r="R34" i="63"/>
  <c r="AH32" i="63"/>
  <c r="AN32" i="63" s="1"/>
  <c r="AG33" i="63"/>
  <c r="BY33" i="63"/>
  <c r="V33" i="63"/>
  <c r="AB33" i="63" s="1"/>
  <c r="BP34" i="63"/>
  <c r="AZ32" i="63"/>
  <c r="BE32" i="63" s="1"/>
  <c r="AG34" i="60"/>
  <c r="BY34" i="60"/>
  <c r="BY33" i="60"/>
  <c r="V33" i="60"/>
  <c r="AB33" i="60" s="1"/>
  <c r="AG33" i="60"/>
  <c r="AH32" i="60"/>
  <c r="AN32" i="60" s="1"/>
  <c r="AS32" i="60"/>
  <c r="AZ32" i="60" s="1"/>
  <c r="BE32" i="60" s="1"/>
  <c r="R34" i="60"/>
  <c r="V34" i="60" s="1"/>
  <c r="AF33" i="60"/>
  <c r="AR33" i="60" s="1"/>
  <c r="BX33" i="60"/>
  <c r="BY34" i="57"/>
  <c r="AG34" i="57"/>
  <c r="AH32" i="57"/>
  <c r="AN32" i="57" s="1"/>
  <c r="AS32" i="57"/>
  <c r="AZ32" i="57" s="1"/>
  <c r="BE32" i="57" s="1"/>
  <c r="BY33" i="57"/>
  <c r="CA33" i="57" s="1"/>
  <c r="CG33" i="57" s="1"/>
  <c r="V33" i="57"/>
  <c r="AB33" i="57" s="1"/>
  <c r="AG33" i="57"/>
  <c r="CA20" i="52"/>
  <c r="CG20" i="52" s="1"/>
  <c r="BZ21" i="52"/>
  <c r="BY21" i="52"/>
  <c r="AG21" i="52"/>
  <c r="AS21" i="52" s="1"/>
  <c r="BP22" i="52"/>
  <c r="BT22" i="52" s="1"/>
  <c r="V27" i="39"/>
  <c r="AB27" i="39" s="1"/>
  <c r="J31" i="52"/>
  <c r="BH32" i="52"/>
  <c r="AQ32" i="52"/>
  <c r="L32" i="52"/>
  <c r="AH26" i="39"/>
  <c r="AN26" i="39" s="1"/>
  <c r="BL28" i="39"/>
  <c r="BP28" i="39" s="1"/>
  <c r="BT28" i="39" s="1"/>
  <c r="R28" i="39"/>
  <c r="AF28" i="39" s="1"/>
  <c r="AR28" i="39" s="1"/>
  <c r="BJ29" i="39"/>
  <c r="BJ29" i="52" s="1"/>
  <c r="S29" i="39"/>
  <c r="S29" i="52" s="1"/>
  <c r="BH31" i="39"/>
  <c r="AQ31" i="39"/>
  <c r="L31" i="39"/>
  <c r="M30" i="39"/>
  <c r="M30" i="52" s="1"/>
  <c r="U28" i="39"/>
  <c r="U28" i="52" s="1"/>
  <c r="AZ26" i="39"/>
  <c r="BE26" i="39" s="1"/>
  <c r="J30" i="39"/>
  <c r="AV29" i="39"/>
  <c r="AW29" i="39" s="1"/>
  <c r="DB51" i="39"/>
  <c r="BK29" i="39"/>
  <c r="BK29" i="52" s="1"/>
  <c r="BM29" i="39"/>
  <c r="BN29" i="39" s="1"/>
  <c r="T29" i="52"/>
  <c r="W29" i="39"/>
  <c r="X29" i="39" s="1"/>
  <c r="AA29" i="39" s="1"/>
  <c r="O29" i="39"/>
  <c r="P29" i="39"/>
  <c r="Q29" i="39" s="1"/>
  <c r="AT29" i="39"/>
  <c r="AU29" i="39" s="1"/>
  <c r="BZ29" i="39" s="1"/>
  <c r="L32" i="34"/>
  <c r="M31" i="34"/>
  <c r="BL30" i="34"/>
  <c r="BJ30" i="34"/>
  <c r="W30" i="34"/>
  <c r="X30" i="34" s="1"/>
  <c r="J31" i="34"/>
  <c r="AU30" i="34"/>
  <c r="AS30" i="34"/>
  <c r="AT30" i="34" s="1"/>
  <c r="P30" i="34"/>
  <c r="BG31" i="34"/>
  <c r="AP31" i="34"/>
  <c r="U29" i="34"/>
  <c r="BK29" i="34"/>
  <c r="BX28" i="34"/>
  <c r="AF28" i="34"/>
  <c r="S30" i="34"/>
  <c r="BI30" i="34"/>
  <c r="N31" i="39" l="1"/>
  <c r="T31" i="39"/>
  <c r="T32" i="34"/>
  <c r="N32" i="34"/>
  <c r="AU29" i="52"/>
  <c r="O29" i="52"/>
  <c r="X29" i="52"/>
  <c r="BT34" i="60"/>
  <c r="BT37" i="60" s="1"/>
  <c r="BJ39" i="60" s="1"/>
  <c r="F45" i="60" s="1"/>
  <c r="Q29" i="52"/>
  <c r="BM29" i="52"/>
  <c r="BN29" i="52"/>
  <c r="AV29" i="52"/>
  <c r="P29" i="52"/>
  <c r="R28" i="52"/>
  <c r="AW29" i="52"/>
  <c r="N29" i="52"/>
  <c r="BL28" i="52"/>
  <c r="BM30" i="34"/>
  <c r="AG27" i="34"/>
  <c r="AM27" i="34" s="1"/>
  <c r="V28" i="34"/>
  <c r="AB28" i="34" s="1"/>
  <c r="AE28" i="34"/>
  <c r="AQ28" i="34" s="1"/>
  <c r="BP37" i="60"/>
  <c r="BJ40" i="60" s="1"/>
  <c r="G45" i="60" s="1"/>
  <c r="F14" i="12" s="1"/>
  <c r="AA29" i="52"/>
  <c r="AZ27" i="39"/>
  <c r="BE27" i="39" s="1"/>
  <c r="R29" i="34"/>
  <c r="BO29" i="34"/>
  <c r="BS29" i="34" s="1"/>
  <c r="O30" i="34"/>
  <c r="AV30" i="34"/>
  <c r="Q30" i="34"/>
  <c r="BW28" i="34"/>
  <c r="BZ28" i="34" s="1"/>
  <c r="CF28" i="34" s="1"/>
  <c r="BY30" i="34"/>
  <c r="AA30" i="34"/>
  <c r="AN19" i="52"/>
  <c r="AT19" i="52"/>
  <c r="AH27" i="39"/>
  <c r="AN27" i="39" s="1"/>
  <c r="AH20" i="52"/>
  <c r="BX28" i="39"/>
  <c r="AF21" i="52"/>
  <c r="AR21" i="52" s="1"/>
  <c r="AZ21" i="52" s="1"/>
  <c r="BE21" i="52" s="1"/>
  <c r="BX21" i="52"/>
  <c r="CA21" i="52" s="1"/>
  <c r="CG21" i="52" s="1"/>
  <c r="AF34" i="57"/>
  <c r="AR34" i="57" s="1"/>
  <c r="BP36" i="57"/>
  <c r="BX34" i="57"/>
  <c r="CA34" i="57" s="1"/>
  <c r="CG34" i="57" s="1"/>
  <c r="BP37" i="57"/>
  <c r="BJ40" i="57" s="1"/>
  <c r="G45" i="57" s="1"/>
  <c r="F12" i="12" s="1"/>
  <c r="CA33" i="60"/>
  <c r="CG33" i="60" s="1"/>
  <c r="AS33" i="63"/>
  <c r="AZ33" i="63" s="1"/>
  <c r="BE33" i="63" s="1"/>
  <c r="AH33" i="63"/>
  <c r="AN33" i="63" s="1"/>
  <c r="BX34" i="63"/>
  <c r="CA34" i="63" s="1"/>
  <c r="AF34" i="63"/>
  <c r="AR34" i="63" s="1"/>
  <c r="AS34" i="63"/>
  <c r="V34" i="63"/>
  <c r="BT34" i="63"/>
  <c r="BP37" i="63"/>
  <c r="BJ40" i="63" s="1"/>
  <c r="G45" i="63" s="1"/>
  <c r="F16" i="12" s="1"/>
  <c r="BP36" i="63"/>
  <c r="CA33" i="63"/>
  <c r="CG33" i="63" s="1"/>
  <c r="AB34" i="60"/>
  <c r="V37" i="60"/>
  <c r="V36" i="60"/>
  <c r="AH33" i="60"/>
  <c r="AN33" i="60" s="1"/>
  <c r="AS33" i="60"/>
  <c r="AZ33" i="60" s="1"/>
  <c r="BE33" i="60" s="1"/>
  <c r="AS34" i="60"/>
  <c r="BX34" i="60"/>
  <c r="CA34" i="60" s="1"/>
  <c r="AF34" i="60"/>
  <c r="AR34" i="60" s="1"/>
  <c r="AH33" i="57"/>
  <c r="AN33" i="57" s="1"/>
  <c r="AS33" i="57"/>
  <c r="AZ33" i="57" s="1"/>
  <c r="BE33" i="57" s="1"/>
  <c r="AS34" i="57"/>
  <c r="BT37" i="57"/>
  <c r="BJ39" i="57" s="1"/>
  <c r="F45" i="57" s="1"/>
  <c r="BT36" i="57"/>
  <c r="AB34" i="57"/>
  <c r="V36" i="57"/>
  <c r="V37" i="57"/>
  <c r="BZ22" i="52"/>
  <c r="AG22" i="52"/>
  <c r="AS22" i="52" s="1"/>
  <c r="BY22" i="52"/>
  <c r="BP23" i="52"/>
  <c r="BT23" i="52" s="1"/>
  <c r="BK30" i="34"/>
  <c r="AF22" i="52"/>
  <c r="V22" i="52"/>
  <c r="AB22" i="52" s="1"/>
  <c r="BX22" i="52"/>
  <c r="L33" i="52"/>
  <c r="AQ33" i="52"/>
  <c r="BH33" i="52"/>
  <c r="J32" i="52"/>
  <c r="R29" i="39"/>
  <c r="AF29" i="39" s="1"/>
  <c r="AR29" i="39" s="1"/>
  <c r="J31" i="39"/>
  <c r="AV30" i="39"/>
  <c r="AW30" i="39" s="1"/>
  <c r="O30" i="39"/>
  <c r="P30" i="39"/>
  <c r="Q30" i="39" s="1"/>
  <c r="W30" i="39"/>
  <c r="X30" i="39" s="1"/>
  <c r="AA30" i="39" s="1"/>
  <c r="BK30" i="39"/>
  <c r="BK30" i="52" s="1"/>
  <c r="BM30" i="39"/>
  <c r="BN30" i="39" s="1"/>
  <c r="T30" i="52"/>
  <c r="AT30" i="39"/>
  <c r="AU30" i="39" s="1"/>
  <c r="BZ30" i="39" s="1"/>
  <c r="AG28" i="39"/>
  <c r="BY28" i="39"/>
  <c r="V28" i="39"/>
  <c r="AB28" i="39" s="1"/>
  <c r="L32" i="39"/>
  <c r="M31" i="39"/>
  <c r="M31" i="52" s="1"/>
  <c r="AQ32" i="39"/>
  <c r="BH32" i="39"/>
  <c r="BL29" i="39"/>
  <c r="BP29" i="39" s="1"/>
  <c r="BT29" i="39" s="1"/>
  <c r="S30" i="39"/>
  <c r="S30" i="52" s="1"/>
  <c r="BJ30" i="39"/>
  <c r="BJ30" i="52" s="1"/>
  <c r="U29" i="39"/>
  <c r="U29" i="52" s="1"/>
  <c r="U30" i="34"/>
  <c r="AR28" i="34"/>
  <c r="BX29" i="34"/>
  <c r="AF29" i="34"/>
  <c r="AP32" i="34"/>
  <c r="BG32" i="34"/>
  <c r="AU31" i="34"/>
  <c r="AS31" i="34"/>
  <c r="AT31" i="34" s="1"/>
  <c r="P31" i="34"/>
  <c r="Q31" i="34" s="1"/>
  <c r="J32" i="34"/>
  <c r="BL31" i="34"/>
  <c r="BJ31" i="34"/>
  <c r="W31" i="34"/>
  <c r="X31" i="34" s="1"/>
  <c r="BI31" i="34"/>
  <c r="S31" i="34"/>
  <c r="L33" i="34"/>
  <c r="M32" i="34"/>
  <c r="T32" i="39" l="1"/>
  <c r="N32" i="39"/>
  <c r="N33" i="34"/>
  <c r="T33" i="34"/>
  <c r="BT36" i="60"/>
  <c r="CA28" i="39"/>
  <c r="CG28" i="39" s="1"/>
  <c r="BN30" i="52"/>
  <c r="O30" i="52"/>
  <c r="N30" i="52"/>
  <c r="BL29" i="52"/>
  <c r="Q30" i="52"/>
  <c r="R29" i="52"/>
  <c r="BM30" i="52"/>
  <c r="P30" i="52"/>
  <c r="X30" i="52"/>
  <c r="AA30" i="52" s="1"/>
  <c r="AW30" i="52"/>
  <c r="AU30" i="52"/>
  <c r="AV30" i="52"/>
  <c r="BO30" i="34"/>
  <c r="BS30" i="34" s="1"/>
  <c r="V29" i="34"/>
  <c r="AB29" i="34" s="1"/>
  <c r="AG28" i="34"/>
  <c r="AM28" i="34" s="1"/>
  <c r="BW29" i="34"/>
  <c r="BZ29" i="34" s="1"/>
  <c r="CF29" i="34" s="1"/>
  <c r="AY28" i="34"/>
  <c r="BD28" i="34" s="1"/>
  <c r="AE29" i="34"/>
  <c r="AQ29" i="34" s="1"/>
  <c r="BY31" i="34"/>
  <c r="AA31" i="34"/>
  <c r="O31" i="34"/>
  <c r="AV31" i="34"/>
  <c r="AF30" i="34"/>
  <c r="AR30" i="34" s="1"/>
  <c r="R30" i="34"/>
  <c r="BM31" i="34"/>
  <c r="AN20" i="52"/>
  <c r="AT20" i="52"/>
  <c r="AH34" i="63"/>
  <c r="AH36" i="63" s="1"/>
  <c r="AZ34" i="57"/>
  <c r="AZ37" i="57" s="1"/>
  <c r="AH21" i="52"/>
  <c r="AH34" i="57"/>
  <c r="AN34" i="57" s="1"/>
  <c r="CA37" i="57"/>
  <c r="CA36" i="57"/>
  <c r="BL30" i="39"/>
  <c r="BP30" i="39" s="1"/>
  <c r="BT30" i="39" s="1"/>
  <c r="U31" i="34"/>
  <c r="AZ34" i="60"/>
  <c r="BE34" i="60" s="1"/>
  <c r="AZ34" i="63"/>
  <c r="AZ37" i="63" s="1"/>
  <c r="AB34" i="63"/>
  <c r="V36" i="63"/>
  <c r="V37" i="63"/>
  <c r="CG34" i="63"/>
  <c r="CA37" i="63"/>
  <c r="CA36" i="63"/>
  <c r="BT37" i="63"/>
  <c r="BJ39" i="63" s="1"/>
  <c r="F45" i="63" s="1"/>
  <c r="BT36" i="63"/>
  <c r="CG34" i="60"/>
  <c r="CA37" i="60"/>
  <c r="CA36" i="60"/>
  <c r="AH34" i="60"/>
  <c r="BZ23" i="52"/>
  <c r="CA22" i="52"/>
  <c r="CG22" i="52" s="1"/>
  <c r="BY23" i="52"/>
  <c r="AG23" i="52"/>
  <c r="AS23" i="52" s="1"/>
  <c r="BP24" i="52"/>
  <c r="BT24" i="52" s="1"/>
  <c r="AR22" i="52"/>
  <c r="AZ22" i="52" s="1"/>
  <c r="AH22" i="52"/>
  <c r="AF23" i="52"/>
  <c r="BX23" i="52"/>
  <c r="V23" i="52"/>
  <c r="AB23" i="52" s="1"/>
  <c r="BH34" i="52"/>
  <c r="BH35" i="52" s="1"/>
  <c r="AQ34" i="52"/>
  <c r="AQ35" i="52" s="1"/>
  <c r="L34" i="52"/>
  <c r="L35" i="52" s="1"/>
  <c r="J33" i="52"/>
  <c r="BX29" i="39"/>
  <c r="BY29" i="39"/>
  <c r="V29" i="39"/>
  <c r="AB29" i="39" s="1"/>
  <c r="AG29" i="39"/>
  <c r="BH33" i="39"/>
  <c r="AQ33" i="39"/>
  <c r="L33" i="39"/>
  <c r="M32" i="39"/>
  <c r="M32" i="52" s="1"/>
  <c r="J32" i="39"/>
  <c r="AV31" i="39"/>
  <c r="AW31" i="39" s="1"/>
  <c r="W31" i="39"/>
  <c r="X31" i="39" s="1"/>
  <c r="AA31" i="39" s="1"/>
  <c r="BK31" i="39"/>
  <c r="BK31" i="52" s="1"/>
  <c r="BM31" i="39"/>
  <c r="BN31" i="39" s="1"/>
  <c r="T31" i="52"/>
  <c r="O31" i="39"/>
  <c r="P31" i="39"/>
  <c r="Q31" i="39" s="1"/>
  <c r="Q31" i="52" s="1"/>
  <c r="AT31" i="39"/>
  <c r="AU31" i="39" s="1"/>
  <c r="BZ31" i="39" s="1"/>
  <c r="R30" i="39"/>
  <c r="U30" i="39"/>
  <c r="U30" i="52" s="1"/>
  <c r="S31" i="39"/>
  <c r="S31" i="52" s="1"/>
  <c r="BJ31" i="39"/>
  <c r="BJ31" i="52" s="1"/>
  <c r="AS28" i="39"/>
  <c r="AZ28" i="39" s="1"/>
  <c r="BE28" i="39" s="1"/>
  <c r="AH28" i="39"/>
  <c r="AN28" i="39" s="1"/>
  <c r="BX30" i="34"/>
  <c r="BI32" i="34"/>
  <c r="S32" i="34"/>
  <c r="L34" i="34"/>
  <c r="M34" i="34" s="1"/>
  <c r="M33" i="34"/>
  <c r="BG33" i="34"/>
  <c r="AP33" i="34"/>
  <c r="J33" i="34"/>
  <c r="AU32" i="34"/>
  <c r="AS32" i="34"/>
  <c r="AT32" i="34" s="1"/>
  <c r="P32" i="34"/>
  <c r="BL32" i="34"/>
  <c r="BJ32" i="34"/>
  <c r="W32" i="34"/>
  <c r="X32" i="34" s="1"/>
  <c r="AR29" i="34"/>
  <c r="BK31" i="34"/>
  <c r="N34" i="34" l="1"/>
  <c r="T34" i="34"/>
  <c r="T33" i="39"/>
  <c r="N33" i="39"/>
  <c r="AV31" i="52"/>
  <c r="P31" i="52"/>
  <c r="AU31" i="52"/>
  <c r="R30" i="52"/>
  <c r="BL30" i="52"/>
  <c r="N31" i="52"/>
  <c r="AW31" i="52"/>
  <c r="X31" i="52"/>
  <c r="AA31" i="52" s="1"/>
  <c r="BN31" i="52"/>
  <c r="O31" i="52"/>
  <c r="BM31" i="52"/>
  <c r="BW30" i="34"/>
  <c r="BZ30" i="34" s="1"/>
  <c r="CF30" i="34" s="1"/>
  <c r="R31" i="34"/>
  <c r="AG29" i="34"/>
  <c r="AM29" i="34" s="1"/>
  <c r="AY29" i="34"/>
  <c r="BD29" i="34" s="1"/>
  <c r="BE34" i="57"/>
  <c r="AH36" i="57"/>
  <c r="AH37" i="63"/>
  <c r="Q32" i="34"/>
  <c r="BO31" i="34"/>
  <c r="BS31" i="34" s="1"/>
  <c r="BM32" i="34"/>
  <c r="BY32" i="34"/>
  <c r="BX31" i="34"/>
  <c r="AE30" i="34"/>
  <c r="AQ30" i="34" s="1"/>
  <c r="AY30" i="34" s="1"/>
  <c r="BD30" i="34" s="1"/>
  <c r="O32" i="34"/>
  <c r="AV32" i="34"/>
  <c r="V30" i="34"/>
  <c r="AB30" i="34" s="1"/>
  <c r="AA32" i="34"/>
  <c r="AN22" i="52"/>
  <c r="AT22" i="52"/>
  <c r="AN21" i="52"/>
  <c r="AT21" i="52"/>
  <c r="BE34" i="63"/>
  <c r="AZ36" i="57"/>
  <c r="AN34" i="63"/>
  <c r="AF31" i="34"/>
  <c r="AR31" i="34" s="1"/>
  <c r="CA29" i="39"/>
  <c r="CG29" i="39" s="1"/>
  <c r="AH37" i="57"/>
  <c r="U31" i="39"/>
  <c r="BY31" i="39" s="1"/>
  <c r="AZ37" i="60"/>
  <c r="BE22" i="52"/>
  <c r="AZ36" i="60"/>
  <c r="AZ36" i="63"/>
  <c r="AN34" i="60"/>
  <c r="AH37" i="60"/>
  <c r="AH36" i="60"/>
  <c r="BZ24" i="52"/>
  <c r="BP25" i="52"/>
  <c r="BT25" i="52" s="1"/>
  <c r="CA23" i="52"/>
  <c r="CG23" i="52" s="1"/>
  <c r="AG24" i="52"/>
  <c r="AS24" i="52" s="1"/>
  <c r="BY24" i="52"/>
  <c r="AR23" i="52"/>
  <c r="AZ23" i="52" s="1"/>
  <c r="BE23" i="52" s="1"/>
  <c r="AH23" i="52"/>
  <c r="BX24" i="52"/>
  <c r="AF24" i="52"/>
  <c r="V24" i="52"/>
  <c r="AB24" i="52" s="1"/>
  <c r="J34" i="52"/>
  <c r="J35" i="52" s="1"/>
  <c r="BL31" i="39"/>
  <c r="BP31" i="39" s="1"/>
  <c r="BT31" i="39" s="1"/>
  <c r="R31" i="39"/>
  <c r="AF31" i="39" s="1"/>
  <c r="AR31" i="39" s="1"/>
  <c r="BH34" i="39"/>
  <c r="BX30" i="39"/>
  <c r="AF30" i="39"/>
  <c r="AR30" i="39" s="1"/>
  <c r="S32" i="39"/>
  <c r="S32" i="52" s="1"/>
  <c r="BJ32" i="39"/>
  <c r="BJ32" i="52" s="1"/>
  <c r="AH29" i="39"/>
  <c r="AN29" i="39" s="1"/>
  <c r="AS29" i="39"/>
  <c r="AZ29" i="39" s="1"/>
  <c r="BE29" i="39" s="1"/>
  <c r="AG30" i="39"/>
  <c r="BY30" i="39"/>
  <c r="V30" i="39"/>
  <c r="AB30" i="39" s="1"/>
  <c r="J33" i="39"/>
  <c r="AV32" i="39"/>
  <c r="AW32" i="39" s="1"/>
  <c r="O32" i="39"/>
  <c r="P32" i="39"/>
  <c r="Q32" i="39" s="1"/>
  <c r="AT32" i="39"/>
  <c r="AU32" i="39" s="1"/>
  <c r="BZ32" i="39" s="1"/>
  <c r="W32" i="39"/>
  <c r="X32" i="39" s="1"/>
  <c r="AA32" i="39" s="1"/>
  <c r="BK32" i="39"/>
  <c r="BK32" i="52" s="1"/>
  <c r="BM32" i="39"/>
  <c r="BN32" i="39" s="1"/>
  <c r="T32" i="52"/>
  <c r="L34" i="39"/>
  <c r="M34" i="39" s="1"/>
  <c r="M34" i="52" s="1"/>
  <c r="M33" i="39"/>
  <c r="M33" i="52" s="1"/>
  <c r="AQ34" i="39"/>
  <c r="BL33" i="34"/>
  <c r="BJ33" i="34"/>
  <c r="W33" i="34"/>
  <c r="X33" i="34" s="1"/>
  <c r="J34" i="34"/>
  <c r="AU33" i="34"/>
  <c r="AS33" i="34"/>
  <c r="AT33" i="34" s="1"/>
  <c r="P33" i="34"/>
  <c r="BI34" i="34"/>
  <c r="S34" i="34"/>
  <c r="M36" i="34"/>
  <c r="K10" i="75" s="1"/>
  <c r="BK32" i="34"/>
  <c r="AP34" i="34"/>
  <c r="BG34" i="34"/>
  <c r="S33" i="34"/>
  <c r="BI33" i="34"/>
  <c r="U32" i="34"/>
  <c r="T34" i="39" l="1"/>
  <c r="N34" i="39"/>
  <c r="BN32" i="52"/>
  <c r="U31" i="52"/>
  <c r="N32" i="52"/>
  <c r="O32" i="52"/>
  <c r="AW32" i="52"/>
  <c r="AV32" i="52"/>
  <c r="R31" i="52"/>
  <c r="AU32" i="52"/>
  <c r="P32" i="52"/>
  <c r="BL31" i="52"/>
  <c r="Q32" i="52"/>
  <c r="BM32" i="52"/>
  <c r="X32" i="52"/>
  <c r="AA32" i="52" s="1"/>
  <c r="V31" i="34"/>
  <c r="AB31" i="34" s="1"/>
  <c r="BW31" i="34"/>
  <c r="BZ31" i="34" s="1"/>
  <c r="CF31" i="34" s="1"/>
  <c r="AE31" i="34"/>
  <c r="AQ31" i="34" s="1"/>
  <c r="AY31" i="34" s="1"/>
  <c r="BD31" i="34" s="1"/>
  <c r="AG31" i="39"/>
  <c r="AS31" i="39" s="1"/>
  <c r="AZ31" i="39" s="1"/>
  <c r="BE31" i="39" s="1"/>
  <c r="R32" i="34"/>
  <c r="BY33" i="34"/>
  <c r="AA33" i="34"/>
  <c r="BO32" i="34"/>
  <c r="BS32" i="34" s="1"/>
  <c r="O33" i="34"/>
  <c r="AV33" i="34"/>
  <c r="BM33" i="34"/>
  <c r="Q33" i="34"/>
  <c r="AG30" i="34"/>
  <c r="AM30" i="34" s="1"/>
  <c r="AN23" i="52"/>
  <c r="AT23" i="52"/>
  <c r="V31" i="39"/>
  <c r="AB31" i="39" s="1"/>
  <c r="BK33" i="34"/>
  <c r="BZ25" i="52"/>
  <c r="BP26" i="52"/>
  <c r="BT26" i="52" s="1"/>
  <c r="CA24" i="52"/>
  <c r="CG24" i="52" s="1"/>
  <c r="BY25" i="52"/>
  <c r="AG25" i="52"/>
  <c r="AS25" i="52" s="1"/>
  <c r="AR24" i="52"/>
  <c r="AZ24" i="52" s="1"/>
  <c r="BE24" i="52" s="1"/>
  <c r="AH24" i="52"/>
  <c r="BX25" i="52"/>
  <c r="AF25" i="52"/>
  <c r="V25" i="52"/>
  <c r="AB25" i="52" s="1"/>
  <c r="BX31" i="39"/>
  <c r="CA31" i="39" s="1"/>
  <c r="CG31" i="39" s="1"/>
  <c r="U33" i="34"/>
  <c r="R32" i="39"/>
  <c r="AF32" i="39" s="1"/>
  <c r="AR32" i="39" s="1"/>
  <c r="S34" i="39"/>
  <c r="S34" i="52" s="1"/>
  <c r="BJ34" i="39"/>
  <c r="BJ34" i="52" s="1"/>
  <c r="M36" i="39"/>
  <c r="AS30" i="39"/>
  <c r="AZ30" i="39" s="1"/>
  <c r="BE30" i="39" s="1"/>
  <c r="AH30" i="39"/>
  <c r="AN30" i="39" s="1"/>
  <c r="U32" i="39"/>
  <c r="U32" i="52" s="1"/>
  <c r="CA30" i="39"/>
  <c r="CG30" i="39" s="1"/>
  <c r="S33" i="39"/>
  <c r="S33" i="52" s="1"/>
  <c r="BJ33" i="39"/>
  <c r="BJ33" i="52" s="1"/>
  <c r="J34" i="39"/>
  <c r="W33" i="39"/>
  <c r="X33" i="39" s="1"/>
  <c r="AA33" i="39" s="1"/>
  <c r="BK33" i="39"/>
  <c r="BK33" i="52" s="1"/>
  <c r="BM33" i="39"/>
  <c r="BN33" i="39" s="1"/>
  <c r="T33" i="52"/>
  <c r="O33" i="39"/>
  <c r="P33" i="39"/>
  <c r="Q33" i="39" s="1"/>
  <c r="AT33" i="39"/>
  <c r="AU33" i="39" s="1"/>
  <c r="BZ33" i="39" s="1"/>
  <c r="AV33" i="39"/>
  <c r="AW33" i="39" s="1"/>
  <c r="BL32" i="39"/>
  <c r="BP32" i="39" s="1"/>
  <c r="BT32" i="39" s="1"/>
  <c r="BI36" i="34"/>
  <c r="AU34" i="34"/>
  <c r="AS34" i="34"/>
  <c r="AT34" i="34" s="1"/>
  <c r="P34" i="34"/>
  <c r="BL34" i="34"/>
  <c r="BJ34" i="34"/>
  <c r="W34" i="34"/>
  <c r="X34" i="34" s="1"/>
  <c r="BX32" i="34"/>
  <c r="AF32" i="34"/>
  <c r="P33" i="52" l="1"/>
  <c r="BN33" i="52"/>
  <c r="X33" i="52"/>
  <c r="N33" i="52"/>
  <c r="R32" i="52"/>
  <c r="AV33" i="52"/>
  <c r="O33" i="52"/>
  <c r="BL32" i="52"/>
  <c r="AU33" i="52"/>
  <c r="AW33" i="52"/>
  <c r="Q33" i="52"/>
  <c r="BM33" i="52"/>
  <c r="AG31" i="34"/>
  <c r="AM31" i="34" s="1"/>
  <c r="BW32" i="34"/>
  <c r="BZ32" i="34" s="1"/>
  <c r="CF32" i="34" s="1"/>
  <c r="AE32" i="34"/>
  <c r="AQ32" i="34" s="1"/>
  <c r="AH31" i="39"/>
  <c r="AN31" i="39" s="1"/>
  <c r="R33" i="34"/>
  <c r="BW33" i="34" s="1"/>
  <c r="V32" i="34"/>
  <c r="AB32" i="34" s="1"/>
  <c r="AA33" i="52"/>
  <c r="U34" i="34"/>
  <c r="BO33" i="34"/>
  <c r="BS33" i="34" s="1"/>
  <c r="BM34" i="34"/>
  <c r="BY34" i="34"/>
  <c r="AA34" i="34"/>
  <c r="Q34" i="34"/>
  <c r="BK34" i="34"/>
  <c r="O34" i="34"/>
  <c r="AV34" i="34"/>
  <c r="AF33" i="34"/>
  <c r="AR33" i="34" s="1"/>
  <c r="AN24" i="52"/>
  <c r="AT24" i="52"/>
  <c r="BX33" i="34"/>
  <c r="BX32" i="39"/>
  <c r="K12" i="75"/>
  <c r="CA25" i="52"/>
  <c r="CG25" i="52" s="1"/>
  <c r="BP27" i="52"/>
  <c r="BT27" i="52" s="1"/>
  <c r="BZ26" i="52"/>
  <c r="AG26" i="52"/>
  <c r="AS26" i="52" s="1"/>
  <c r="BY26" i="52"/>
  <c r="AR25" i="52"/>
  <c r="AZ25" i="52" s="1"/>
  <c r="BE25" i="52" s="1"/>
  <c r="AH25" i="52"/>
  <c r="BL33" i="39"/>
  <c r="BP33" i="39" s="1"/>
  <c r="BT33" i="39" s="1"/>
  <c r="R33" i="39"/>
  <c r="BX33" i="39" s="1"/>
  <c r="AG32" i="39"/>
  <c r="BY32" i="39"/>
  <c r="V32" i="39"/>
  <c r="AB32" i="39" s="1"/>
  <c r="BJ36" i="39"/>
  <c r="O34" i="39"/>
  <c r="P34" i="39"/>
  <c r="Q34" i="39" s="1"/>
  <c r="AV34" i="39"/>
  <c r="AW34" i="39" s="1"/>
  <c r="W34" i="39"/>
  <c r="X34" i="39" s="1"/>
  <c r="AA34" i="39" s="1"/>
  <c r="BK34" i="39"/>
  <c r="BL34" i="39" s="1"/>
  <c r="BM34" i="39"/>
  <c r="BN34" i="39" s="1"/>
  <c r="U34" i="39"/>
  <c r="AT34" i="39"/>
  <c r="AU34" i="39" s="1"/>
  <c r="BZ34" i="39" s="1"/>
  <c r="U33" i="39"/>
  <c r="U33" i="52" s="1"/>
  <c r="AR32" i="34"/>
  <c r="AG32" i="34" l="1"/>
  <c r="AM32" i="34" s="1"/>
  <c r="K14" i="75"/>
  <c r="K22" i="75" s="1"/>
  <c r="BL34" i="52"/>
  <c r="N34" i="52"/>
  <c r="O34" i="52"/>
  <c r="BN34" i="52"/>
  <c r="P34" i="52"/>
  <c r="Q34" i="52"/>
  <c r="R33" i="52"/>
  <c r="T34" i="52"/>
  <c r="X34" i="52"/>
  <c r="AA34" i="52" s="1"/>
  <c r="AU34" i="52"/>
  <c r="AV34" i="52"/>
  <c r="AW34" i="52"/>
  <c r="U34" i="52"/>
  <c r="BK34" i="52"/>
  <c r="BL33" i="52"/>
  <c r="BM34" i="52"/>
  <c r="AY32" i="34"/>
  <c r="BD32" i="34" s="1"/>
  <c r="BX34" i="34"/>
  <c r="AE33" i="34"/>
  <c r="AQ33" i="34" s="1"/>
  <c r="AY33" i="34" s="1"/>
  <c r="BD33" i="34" s="1"/>
  <c r="V33" i="34"/>
  <c r="AB33" i="34" s="1"/>
  <c r="R34" i="34"/>
  <c r="BO34" i="34"/>
  <c r="BO36" i="34" s="1"/>
  <c r="AF34" i="34"/>
  <c r="AR34" i="34" s="1"/>
  <c r="AN25" i="52"/>
  <c r="AT25" i="52"/>
  <c r="BZ33" i="34"/>
  <c r="CF33" i="34" s="1"/>
  <c r="CA32" i="39"/>
  <c r="CG32" i="39" s="1"/>
  <c r="BX26" i="52"/>
  <c r="CA26" i="52" s="1"/>
  <c r="CG26" i="52" s="1"/>
  <c r="V26" i="52"/>
  <c r="AB26" i="52" s="1"/>
  <c r="AF26" i="52"/>
  <c r="AR26" i="52" s="1"/>
  <c r="AZ26" i="52" s="1"/>
  <c r="BE26" i="52" s="1"/>
  <c r="BP28" i="52"/>
  <c r="BT28" i="52" s="1"/>
  <c r="BZ27" i="52"/>
  <c r="AG27" i="52"/>
  <c r="AS27" i="52" s="1"/>
  <c r="BY27" i="52"/>
  <c r="BX27" i="52"/>
  <c r="AF27" i="52"/>
  <c r="V27" i="52"/>
  <c r="AB27" i="52" s="1"/>
  <c r="AF33" i="39"/>
  <c r="AR33" i="39" s="1"/>
  <c r="BP34" i="39"/>
  <c r="BP37" i="39" s="1"/>
  <c r="BJ40" i="39" s="1"/>
  <c r="G45" i="39" s="1"/>
  <c r="F13" i="12" s="1"/>
  <c r="R34" i="39"/>
  <c r="V34" i="39" s="1"/>
  <c r="AG34" i="39"/>
  <c r="BY34" i="39"/>
  <c r="AG33" i="39"/>
  <c r="BY33" i="39"/>
  <c r="CA33" i="39" s="1"/>
  <c r="CG33" i="39" s="1"/>
  <c r="V33" i="39"/>
  <c r="AB33" i="39" s="1"/>
  <c r="AS32" i="39"/>
  <c r="AZ32" i="39" s="1"/>
  <c r="BE32" i="39" s="1"/>
  <c r="AH32" i="39"/>
  <c r="AN32" i="39" s="1"/>
  <c r="R34" i="52" l="1"/>
  <c r="AG33" i="34"/>
  <c r="AM33" i="34" s="1"/>
  <c r="V34" i="34"/>
  <c r="AB34" i="34" s="1"/>
  <c r="AE34" i="34"/>
  <c r="AQ34" i="34" s="1"/>
  <c r="AY34" i="34" s="1"/>
  <c r="BD34" i="34" s="1"/>
  <c r="BW34" i="34"/>
  <c r="BZ34" i="34" s="1"/>
  <c r="CF34" i="34" s="1"/>
  <c r="BO37" i="34"/>
  <c r="BI40" i="34" s="1"/>
  <c r="G45" i="34" s="1"/>
  <c r="F11" i="12" s="1"/>
  <c r="BS34" i="34"/>
  <c r="BS37" i="34" s="1"/>
  <c r="BI39" i="34" s="1"/>
  <c r="F45" i="34" s="1"/>
  <c r="BP35" i="52"/>
  <c r="BT35" i="52" s="1"/>
  <c r="BZ35" i="52"/>
  <c r="BT34" i="39"/>
  <c r="BT37" i="39" s="1"/>
  <c r="BJ39" i="39" s="1"/>
  <c r="F45" i="39" s="1"/>
  <c r="BP36" i="39"/>
  <c r="CA27" i="52"/>
  <c r="CG27" i="52" s="1"/>
  <c r="AH26" i="52"/>
  <c r="BX28" i="52"/>
  <c r="AF34" i="39"/>
  <c r="AR34" i="39" s="1"/>
  <c r="BP29" i="52"/>
  <c r="BT29" i="52" s="1"/>
  <c r="BZ28" i="52"/>
  <c r="BY28" i="52"/>
  <c r="AG28" i="52"/>
  <c r="AS28" i="52" s="1"/>
  <c r="AR27" i="52"/>
  <c r="AZ27" i="52" s="1"/>
  <c r="BE27" i="52" s="1"/>
  <c r="AH27" i="52"/>
  <c r="BX34" i="39"/>
  <c r="CA34" i="39" s="1"/>
  <c r="CG34" i="39" s="1"/>
  <c r="AS33" i="39"/>
  <c r="AZ33" i="39" s="1"/>
  <c r="BE33" i="39" s="1"/>
  <c r="AH33" i="39"/>
  <c r="AN33" i="39" s="1"/>
  <c r="AB34" i="39"/>
  <c r="V36" i="39"/>
  <c r="V37" i="39"/>
  <c r="AS34" i="39"/>
  <c r="V37" i="34" l="1"/>
  <c r="V36" i="34"/>
  <c r="BZ36" i="34"/>
  <c r="AG34" i="34"/>
  <c r="AM34" i="34" s="1"/>
  <c r="BT36" i="39"/>
  <c r="BZ37" i="34"/>
  <c r="BS36" i="34"/>
  <c r="AN27" i="52"/>
  <c r="AT27" i="52"/>
  <c r="AN26" i="52"/>
  <c r="AT26" i="52"/>
  <c r="V35" i="52"/>
  <c r="AB35" i="52" s="1"/>
  <c r="AG35" i="52"/>
  <c r="BY35" i="52"/>
  <c r="AZ34" i="39"/>
  <c r="BE34" i="39" s="1"/>
  <c r="AH34" i="39"/>
  <c r="AN34" i="39" s="1"/>
  <c r="V28" i="52"/>
  <c r="AB28" i="52" s="1"/>
  <c r="AF28" i="52"/>
  <c r="AR28" i="52" s="1"/>
  <c r="AZ28" i="52" s="1"/>
  <c r="BE28" i="52" s="1"/>
  <c r="CA28" i="52"/>
  <c r="CG28" i="52" s="1"/>
  <c r="BZ29" i="52"/>
  <c r="BY29" i="52"/>
  <c r="AG29" i="52"/>
  <c r="AS29" i="52" s="1"/>
  <c r="BP30" i="52"/>
  <c r="BT30" i="52" s="1"/>
  <c r="AF29" i="52"/>
  <c r="V29" i="52"/>
  <c r="AB29" i="52" s="1"/>
  <c r="BX29" i="52"/>
  <c r="AY36" i="34"/>
  <c r="AY37" i="34"/>
  <c r="CA36" i="39"/>
  <c r="CA37" i="39"/>
  <c r="AG37" i="34" l="1"/>
  <c r="AH36" i="39"/>
  <c r="AG36" i="34"/>
  <c r="AH37" i="39"/>
  <c r="AZ36" i="39"/>
  <c r="AZ37" i="39"/>
  <c r="AF30" i="52"/>
  <c r="AR30" i="52" s="1"/>
  <c r="AS35" i="52"/>
  <c r="BX35" i="52"/>
  <c r="CA35" i="52" s="1"/>
  <c r="CG35" i="52" s="1"/>
  <c r="AF35" i="52"/>
  <c r="AR35" i="52" s="1"/>
  <c r="M37" i="52"/>
  <c r="AH28" i="52"/>
  <c r="BZ30" i="52"/>
  <c r="BY30" i="52"/>
  <c r="AG30" i="52"/>
  <c r="AS30" i="52" s="1"/>
  <c r="CA29" i="52"/>
  <c r="CG29" i="52" s="1"/>
  <c r="BP31" i="52"/>
  <c r="BT31" i="52" s="1"/>
  <c r="AR29" i="52"/>
  <c r="AZ29" i="52" s="1"/>
  <c r="AH29" i="52"/>
  <c r="AT29" i="52" s="1"/>
  <c r="AN28" i="52" l="1"/>
  <c r="AT28" i="52"/>
  <c r="AZ35" i="52"/>
  <c r="BE35" i="52" s="1"/>
  <c r="V30" i="52"/>
  <c r="AB30" i="52" s="1"/>
  <c r="BX30" i="52"/>
  <c r="CA30" i="52" s="1"/>
  <c r="CG30" i="52" s="1"/>
  <c r="AH35" i="52"/>
  <c r="BJ37" i="52"/>
  <c r="BX31" i="52"/>
  <c r="AZ30" i="52"/>
  <c r="BE30" i="52" s="1"/>
  <c r="AH30" i="52"/>
  <c r="BZ31" i="52"/>
  <c r="BY31" i="52"/>
  <c r="AG31" i="52"/>
  <c r="AS31" i="52" s="1"/>
  <c r="BP32" i="52"/>
  <c r="BT32" i="52" s="1"/>
  <c r="AN29" i="52"/>
  <c r="BE29" i="52"/>
  <c r="AN30" i="52" l="1"/>
  <c r="AT30" i="52"/>
  <c r="AN35" i="52"/>
  <c r="AT35" i="52"/>
  <c r="AF32" i="52"/>
  <c r="AR32" i="52" s="1"/>
  <c r="AF31" i="52"/>
  <c r="AH31" i="52" s="1"/>
  <c r="AT31" i="52" s="1"/>
  <c r="V31" i="52"/>
  <c r="AB31" i="52" s="1"/>
  <c r="CA31" i="52"/>
  <c r="CG31" i="52" s="1"/>
  <c r="AG32" i="52"/>
  <c r="AS32" i="52" s="1"/>
  <c r="BY32" i="52"/>
  <c r="BZ32" i="52"/>
  <c r="BP33" i="52"/>
  <c r="BT33" i="52" s="1"/>
  <c r="BX32" i="52" l="1"/>
  <c r="CA32" i="52" s="1"/>
  <c r="CG32" i="52" s="1"/>
  <c r="AR31" i="52"/>
  <c r="AZ31" i="52" s="1"/>
  <c r="BE31" i="52" s="1"/>
  <c r="V32" i="52"/>
  <c r="AB32" i="52" s="1"/>
  <c r="AH32" i="52"/>
  <c r="BX33" i="52"/>
  <c r="AZ32" i="52"/>
  <c r="BE32" i="52" s="1"/>
  <c r="BP34" i="52"/>
  <c r="BT34" i="52" s="1"/>
  <c r="BZ33" i="52"/>
  <c r="BY33" i="52"/>
  <c r="AG33" i="52"/>
  <c r="AS33" i="52" s="1"/>
  <c r="AN31" i="52"/>
  <c r="AN32" i="52" l="1"/>
  <c r="AT32" i="52"/>
  <c r="BX34" i="52"/>
  <c r="AF33" i="52"/>
  <c r="AR33" i="52" s="1"/>
  <c r="AZ33" i="52" s="1"/>
  <c r="BE33" i="52" s="1"/>
  <c r="V33" i="52"/>
  <c r="AB33" i="52" s="1"/>
  <c r="CA33" i="52"/>
  <c r="CG33" i="52" s="1"/>
  <c r="BY34" i="52"/>
  <c r="AG34" i="52"/>
  <c r="AS34" i="52" s="1"/>
  <c r="BZ34" i="52"/>
  <c r="V34" i="52" l="1"/>
  <c r="AB34" i="52" s="1"/>
  <c r="AF34" i="52"/>
  <c r="AR34" i="52" s="1"/>
  <c r="AZ34" i="52" s="1"/>
  <c r="AH33" i="52"/>
  <c r="CA34" i="52"/>
  <c r="CG34" i="52" s="1"/>
  <c r="AH34" i="52" l="1"/>
  <c r="AT34" i="52" s="1"/>
  <c r="V38" i="52"/>
  <c r="V37" i="52"/>
  <c r="AN33" i="52"/>
  <c r="AT33" i="52"/>
  <c r="AZ37" i="52"/>
  <c r="AZ38" i="52"/>
  <c r="CA37" i="52"/>
  <c r="CA38" i="52"/>
  <c r="BE34" i="52"/>
  <c r="AH38" i="52" l="1"/>
  <c r="AN34" i="52"/>
  <c r="AH37" i="52"/>
  <c r="BP14" i="52"/>
  <c r="CD14" i="52" l="1"/>
  <c r="BP37" i="52"/>
  <c r="BP38" i="52"/>
  <c r="BJ41" i="52" s="1"/>
  <c r="G45" i="52" s="1"/>
  <c r="F9" i="12" s="1"/>
  <c r="BT14" i="52"/>
  <c r="AK14" i="52"/>
  <c r="BT37" i="52" l="1"/>
  <c r="BT38" i="52"/>
  <c r="BJ40" i="52" s="1"/>
  <c r="F45" i="52" s="1"/>
  <c r="Y15" i="39" l="1"/>
  <c r="Y15" i="34"/>
  <c r="Y15" i="52" l="1"/>
  <c r="AA15" i="52" s="1"/>
  <c r="AB15" i="52" s="1"/>
  <c r="Y16" i="34"/>
  <c r="AA15" i="34"/>
  <c r="AB15" i="34" s="1"/>
  <c r="AI15" i="34"/>
  <c r="AK15" i="34" s="1"/>
  <c r="AM15" i="34" s="1"/>
  <c r="Y16" i="39"/>
  <c r="BB15" i="39"/>
  <c r="BA15" i="34"/>
  <c r="BB15" i="52" s="1"/>
  <c r="AA15" i="39"/>
  <c r="AB15" i="39" s="1"/>
  <c r="AJ15" i="39"/>
  <c r="AL15" i="39" s="1"/>
  <c r="AN15" i="39" s="1"/>
  <c r="AA16" i="52" l="1"/>
  <c r="AB16" i="52" s="1"/>
  <c r="Y16" i="52"/>
  <c r="BC15" i="34"/>
  <c r="BD15" i="34" s="1"/>
  <c r="CB15" i="34"/>
  <c r="AA16" i="39"/>
  <c r="AB16" i="39" s="1"/>
  <c r="AJ16" i="39"/>
  <c r="AL16" i="39" s="1"/>
  <c r="AN16" i="39" s="1"/>
  <c r="AJ15" i="52"/>
  <c r="AL15" i="52" s="1"/>
  <c r="AN15" i="52" s="1"/>
  <c r="AA16" i="34"/>
  <c r="AB16" i="34" s="1"/>
  <c r="AI16" i="34"/>
  <c r="AK16" i="34" s="1"/>
  <c r="AM16" i="34" s="1"/>
  <c r="CC15" i="39"/>
  <c r="BD15" i="39"/>
  <c r="BE15" i="39" s="1"/>
  <c r="BB16" i="39"/>
  <c r="BA16" i="34"/>
  <c r="BB16" i="52" s="1"/>
  <c r="BC16" i="34" l="1"/>
  <c r="BD16" i="34" s="1"/>
  <c r="CB16" i="34"/>
  <c r="CE15" i="39"/>
  <c r="CG15" i="39" s="1"/>
  <c r="BD15" i="52"/>
  <c r="BE15" i="52" s="1"/>
  <c r="CC15" i="52"/>
  <c r="CD15" i="34"/>
  <c r="CF15" i="34" s="1"/>
  <c r="CC16" i="39"/>
  <c r="BD16" i="39"/>
  <c r="BE16" i="39" s="1"/>
  <c r="AJ16" i="52"/>
  <c r="AL16" i="52" s="1"/>
  <c r="AN16" i="52" s="1"/>
  <c r="CE15" i="52" l="1"/>
  <c r="CG15" i="52" s="1"/>
  <c r="CE16" i="39"/>
  <c r="CG16" i="39" s="1"/>
  <c r="CC16" i="52"/>
  <c r="BD16" i="52"/>
  <c r="BE16" i="52" s="1"/>
  <c r="CD16" i="34"/>
  <c r="CF16" i="34" l="1"/>
  <c r="CE16" i="52"/>
  <c r="CG16" i="52" l="1"/>
  <c r="F32" i="80" l="1"/>
  <c r="G19" i="75"/>
  <c r="Q19" i="76"/>
  <c r="G18" i="33" s="1"/>
  <c r="F32" i="82"/>
  <c r="G17" i="75"/>
  <c r="Q17" i="76"/>
  <c r="G16" i="33" s="1"/>
  <c r="E20" i="76"/>
  <c r="E22" i="76" s="1"/>
  <c r="F32" i="52" s="1"/>
  <c r="G20" i="75" l="1"/>
  <c r="G22" i="75"/>
  <c r="C28" i="76" l="1"/>
  <c r="K13" i="76" l="1"/>
  <c r="K14" i="76"/>
  <c r="K11" i="76"/>
  <c r="K17" i="76"/>
  <c r="K19" i="76"/>
  <c r="K18" i="76"/>
  <c r="K12" i="76"/>
  <c r="F11" i="82" l="1"/>
  <c r="K20" i="76"/>
  <c r="M17" i="76"/>
  <c r="K15" i="76"/>
  <c r="K22" i="76" s="1"/>
  <c r="F11" i="52" s="1"/>
  <c r="F13" i="52" s="1"/>
  <c r="M11" i="76"/>
  <c r="F11" i="34"/>
  <c r="M14" i="76"/>
  <c r="E13" i="75" s="1"/>
  <c r="I13" i="75" s="1"/>
  <c r="F11" i="60"/>
  <c r="F11" i="57"/>
  <c r="M12" i="76"/>
  <c r="E11" i="75" s="1"/>
  <c r="I11" i="75" s="1"/>
  <c r="M18" i="76"/>
  <c r="E18" i="75" s="1"/>
  <c r="I18" i="75" s="1"/>
  <c r="F11" i="63"/>
  <c r="F11" i="80"/>
  <c r="M19" i="76"/>
  <c r="E19" i="75" s="1"/>
  <c r="M13" i="76"/>
  <c r="E12" i="75" s="1"/>
  <c r="I12" i="75" s="1"/>
  <c r="F11" i="39"/>
  <c r="Y14" i="39" l="1"/>
  <c r="F13" i="39"/>
  <c r="BB14" i="39" s="1"/>
  <c r="Y14" i="60"/>
  <c r="F13" i="60"/>
  <c r="BB14" i="60" s="1"/>
  <c r="E17" i="75"/>
  <c r="E20" i="75" s="1"/>
  <c r="I20" i="75" s="1"/>
  <c r="M20" i="76"/>
  <c r="Y14" i="63"/>
  <c r="F13" i="63"/>
  <c r="BB14" i="63" s="1"/>
  <c r="F13" i="34"/>
  <c r="BA14" i="34" s="1"/>
  <c r="Y14" i="34"/>
  <c r="Y14" i="80"/>
  <c r="F13" i="80"/>
  <c r="BB14" i="80" s="1"/>
  <c r="F13" i="57"/>
  <c r="BB14" i="57" s="1"/>
  <c r="Y14" i="57"/>
  <c r="M15" i="76"/>
  <c r="E10" i="75"/>
  <c r="Y14" i="82"/>
  <c r="F13" i="82"/>
  <c r="BB14" i="82" s="1"/>
  <c r="E14" i="75" l="1"/>
  <c r="I10" i="75"/>
  <c r="CC14" i="80"/>
  <c r="CE14" i="80" s="1"/>
  <c r="BD14" i="80"/>
  <c r="BD14" i="63"/>
  <c r="CC14" i="63"/>
  <c r="CE14" i="63" s="1"/>
  <c r="BD14" i="60"/>
  <c r="CC14" i="60"/>
  <c r="CE14" i="60" s="1"/>
  <c r="M22" i="76"/>
  <c r="AJ14" i="80"/>
  <c r="AL14" i="80" s="1"/>
  <c r="AA14" i="80"/>
  <c r="AJ14" i="63"/>
  <c r="AL14" i="63" s="1"/>
  <c r="AA14" i="63"/>
  <c r="AA14" i="60"/>
  <c r="AJ14" i="60"/>
  <c r="AL14" i="60" s="1"/>
  <c r="CC14" i="82"/>
  <c r="CE14" i="82" s="1"/>
  <c r="BD14" i="82"/>
  <c r="AJ14" i="57"/>
  <c r="AL14" i="57" s="1"/>
  <c r="AA14" i="57"/>
  <c r="Y14" i="52"/>
  <c r="AA14" i="34"/>
  <c r="AI14" i="34"/>
  <c r="AK14" i="34" s="1"/>
  <c r="CC14" i="39"/>
  <c r="CE14" i="39" s="1"/>
  <c r="BD14" i="39"/>
  <c r="AA14" i="82"/>
  <c r="AJ14" i="82"/>
  <c r="AL14" i="82" s="1"/>
  <c r="CC14" i="57"/>
  <c r="CE14" i="57" s="1"/>
  <c r="BD14" i="57"/>
  <c r="CB14" i="34"/>
  <c r="CD14" i="34" s="1"/>
  <c r="BC14" i="34"/>
  <c r="BB14" i="52"/>
  <c r="AA14" i="39"/>
  <c r="AJ14" i="39"/>
  <c r="AL14" i="39" s="1"/>
  <c r="AA36" i="39" l="1"/>
  <c r="AA37" i="39"/>
  <c r="N40" i="39" s="1"/>
  <c r="G42" i="39" s="1"/>
  <c r="C13" i="12" s="1"/>
  <c r="AB14" i="39"/>
  <c r="BD37" i="57"/>
  <c r="BD36" i="57"/>
  <c r="BE14" i="57"/>
  <c r="BE36" i="57" s="1"/>
  <c r="BD36" i="39"/>
  <c r="BD37" i="39"/>
  <c r="BE14" i="39"/>
  <c r="BE36" i="39" s="1"/>
  <c r="CE37" i="82"/>
  <c r="BY40" i="82" s="1"/>
  <c r="G46" i="82" s="1"/>
  <c r="CE36" i="82"/>
  <c r="CG14" i="82"/>
  <c r="AN14" i="63"/>
  <c r="AN36" i="63" s="1"/>
  <c r="AL36" i="63"/>
  <c r="AL37" i="63"/>
  <c r="CE36" i="60"/>
  <c r="CG14" i="60"/>
  <c r="CE37" i="60"/>
  <c r="BY40" i="60" s="1"/>
  <c r="G46" i="60" s="1"/>
  <c r="G14" i="12" s="1"/>
  <c r="BD36" i="80"/>
  <c r="BE14" i="80"/>
  <c r="BE36" i="80" s="1"/>
  <c r="BD37" i="80"/>
  <c r="BD14" i="52"/>
  <c r="CC14" i="52"/>
  <c r="CE14" i="52" s="1"/>
  <c r="CE37" i="57"/>
  <c r="BY40" i="57" s="1"/>
  <c r="G46" i="57" s="1"/>
  <c r="G12" i="12" s="1"/>
  <c r="CG14" i="57"/>
  <c r="CE36" i="57"/>
  <c r="CE36" i="39"/>
  <c r="CG14" i="39"/>
  <c r="CE37" i="39"/>
  <c r="BY40" i="39" s="1"/>
  <c r="G46" i="39" s="1"/>
  <c r="G13" i="12" s="1"/>
  <c r="AA37" i="57"/>
  <c r="N40" i="57" s="1"/>
  <c r="G42" i="57" s="1"/>
  <c r="C12" i="12" s="1"/>
  <c r="AA36" i="57"/>
  <c r="AB14" i="57"/>
  <c r="AL36" i="60"/>
  <c r="AL37" i="60"/>
  <c r="AN14" i="60"/>
  <c r="AN36" i="60" s="1"/>
  <c r="AB14" i="80"/>
  <c r="AA37" i="80"/>
  <c r="N40" i="80" s="1"/>
  <c r="G42" i="80" s="1"/>
  <c r="AA36" i="80"/>
  <c r="BD36" i="60"/>
  <c r="BD37" i="60"/>
  <c r="BE14" i="60"/>
  <c r="BE36" i="60" s="1"/>
  <c r="CG14" i="80"/>
  <c r="CE36" i="80"/>
  <c r="CE37" i="80"/>
  <c r="BY40" i="80" s="1"/>
  <c r="G46" i="80" s="1"/>
  <c r="AA14" i="52"/>
  <c r="AJ14" i="52"/>
  <c r="AL14" i="52" s="1"/>
  <c r="BC36" i="34"/>
  <c r="BD14" i="34"/>
  <c r="BD36" i="34" s="1"/>
  <c r="BC37" i="34"/>
  <c r="AN14" i="82"/>
  <c r="AN36" i="82" s="1"/>
  <c r="AL37" i="82"/>
  <c r="AL36" i="82"/>
  <c r="AK37" i="34"/>
  <c r="AK36" i="34"/>
  <c r="AM14" i="34"/>
  <c r="AM36" i="34" s="1"/>
  <c r="AL37" i="57"/>
  <c r="AN14" i="57"/>
  <c r="AN36" i="57" s="1"/>
  <c r="AL36" i="57"/>
  <c r="AB14" i="60"/>
  <c r="AA36" i="60"/>
  <c r="AA37" i="60"/>
  <c r="N40" i="60" s="1"/>
  <c r="G42" i="60" s="1"/>
  <c r="C14" i="12" s="1"/>
  <c r="AN14" i="80"/>
  <c r="AN36" i="80" s="1"/>
  <c r="AL36" i="80"/>
  <c r="AL37" i="80"/>
  <c r="CE37" i="63"/>
  <c r="BY40" i="63" s="1"/>
  <c r="G46" i="63" s="1"/>
  <c r="G16" i="12" s="1"/>
  <c r="CE36" i="63"/>
  <c r="CG14" i="63"/>
  <c r="AN14" i="39"/>
  <c r="AN36" i="39" s="1"/>
  <c r="AL37" i="39"/>
  <c r="AL36" i="39"/>
  <c r="CF14" i="34"/>
  <c r="CD37" i="34"/>
  <c r="BX40" i="34" s="1"/>
  <c r="G46" i="34" s="1"/>
  <c r="G11" i="12" s="1"/>
  <c r="CD36" i="34"/>
  <c r="AB14" i="82"/>
  <c r="AA37" i="82"/>
  <c r="N40" i="82" s="1"/>
  <c r="G42" i="82" s="1"/>
  <c r="AA36" i="82"/>
  <c r="AA37" i="34"/>
  <c r="AA36" i="34"/>
  <c r="AB14" i="34"/>
  <c r="BD36" i="82"/>
  <c r="BE14" i="82"/>
  <c r="BE36" i="82" s="1"/>
  <c r="BD37" i="82"/>
  <c r="AA37" i="63"/>
  <c r="N40" i="63" s="1"/>
  <c r="G42" i="63" s="1"/>
  <c r="C16" i="12" s="1"/>
  <c r="AA36" i="63"/>
  <c r="AB14" i="63"/>
  <c r="BE14" i="63"/>
  <c r="BE36" i="63" s="1"/>
  <c r="BD36" i="63"/>
  <c r="BD37" i="63"/>
  <c r="I14" i="75"/>
  <c r="E22" i="75"/>
  <c r="I22" i="75" s="1"/>
  <c r="N40" i="34" l="1"/>
  <c r="G42" i="34" s="1"/>
  <c r="C11" i="12" s="1"/>
  <c r="BE37" i="82"/>
  <c r="AS39" i="82" s="1"/>
  <c r="F44" i="82" s="1"/>
  <c r="AS40" i="82"/>
  <c r="G44" i="82" s="1"/>
  <c r="AB37" i="82"/>
  <c r="N39" i="82" s="1"/>
  <c r="F42" i="82" s="1"/>
  <c r="AB36" i="82"/>
  <c r="BE37" i="63"/>
  <c r="AS39" i="63" s="1"/>
  <c r="F44" i="63" s="1"/>
  <c r="AS40" i="63"/>
  <c r="G44" i="63" s="1"/>
  <c r="E16" i="12" s="1"/>
  <c r="AN37" i="80"/>
  <c r="AG39" i="80" s="1"/>
  <c r="F43" i="80" s="1"/>
  <c r="AG40" i="80"/>
  <c r="G43" i="80" s="1"/>
  <c r="AG40" i="57"/>
  <c r="G43" i="57" s="1"/>
  <c r="D12" i="12" s="1"/>
  <c r="AN37" i="57"/>
  <c r="AG39" i="57" s="1"/>
  <c r="F43" i="57" s="1"/>
  <c r="AS40" i="60"/>
  <c r="G44" i="60" s="1"/>
  <c r="E14" i="12" s="1"/>
  <c r="BE37" i="60"/>
  <c r="AS39" i="60" s="1"/>
  <c r="F44" i="60" s="1"/>
  <c r="AB36" i="80"/>
  <c r="AB37" i="80"/>
  <c r="N39" i="80" s="1"/>
  <c r="F42" i="80" s="1"/>
  <c r="AB36" i="57"/>
  <c r="AB37" i="57"/>
  <c r="N39" i="57" s="1"/>
  <c r="F42" i="57" s="1"/>
  <c r="CG36" i="39"/>
  <c r="CG37" i="39"/>
  <c r="BY39" i="39" s="1"/>
  <c r="F46" i="39" s="1"/>
  <c r="CG37" i="82"/>
  <c r="BY39" i="82" s="1"/>
  <c r="F46" i="82" s="1"/>
  <c r="CG36" i="82"/>
  <c r="AS40" i="39"/>
  <c r="G44" i="39" s="1"/>
  <c r="E13" i="12" s="1"/>
  <c r="BE37" i="39"/>
  <c r="AS39" i="39" s="1"/>
  <c r="F44" i="39" s="1"/>
  <c r="AS40" i="57"/>
  <c r="G44" i="57" s="1"/>
  <c r="E12" i="12" s="1"/>
  <c r="BE37" i="57"/>
  <c r="AS39" i="57" s="1"/>
  <c r="F44" i="57" s="1"/>
  <c r="AB37" i="34"/>
  <c r="N39" i="34" s="1"/>
  <c r="F42" i="34" s="1"/>
  <c r="AB36" i="34"/>
  <c r="CF37" i="34"/>
  <c r="BX39" i="34" s="1"/>
  <c r="F46" i="34" s="1"/>
  <c r="CF36" i="34"/>
  <c r="CG37" i="63"/>
  <c r="BY39" i="63" s="1"/>
  <c r="F46" i="63" s="1"/>
  <c r="CG36" i="63"/>
  <c r="AB36" i="60"/>
  <c r="AB37" i="60"/>
  <c r="N39" i="60" s="1"/>
  <c r="F42" i="60" s="1"/>
  <c r="AN37" i="82"/>
  <c r="AG39" i="82" s="1"/>
  <c r="F43" i="82" s="1"/>
  <c r="AG40" i="82"/>
  <c r="G43" i="82" s="1"/>
  <c r="CE37" i="52"/>
  <c r="CE38" i="52"/>
  <c r="BY41" i="52" s="1"/>
  <c r="G46" i="52" s="1"/>
  <c r="G9" i="12" s="1"/>
  <c r="CG14" i="52"/>
  <c r="AG40" i="63"/>
  <c r="G43" i="63" s="1"/>
  <c r="D16" i="12" s="1"/>
  <c r="AN37" i="63"/>
  <c r="AG39" i="63" s="1"/>
  <c r="F43" i="63" s="1"/>
  <c r="AB36" i="39"/>
  <c r="AB37" i="39"/>
  <c r="N39" i="39" s="1"/>
  <c r="F42" i="39" s="1"/>
  <c r="AN14" i="52"/>
  <c r="AN37" i="52" s="1"/>
  <c r="AL37" i="52"/>
  <c r="AL38" i="52"/>
  <c r="CG36" i="80"/>
  <c r="CG37" i="80"/>
  <c r="BY39" i="80" s="1"/>
  <c r="F46" i="80" s="1"/>
  <c r="AG40" i="60"/>
  <c r="G43" i="60" s="1"/>
  <c r="D14" i="12" s="1"/>
  <c r="AN37" i="60"/>
  <c r="AG39" i="60" s="1"/>
  <c r="F43" i="60" s="1"/>
  <c r="BE14" i="52"/>
  <c r="BE37" i="52" s="1"/>
  <c r="BD38" i="52"/>
  <c r="BD37" i="52"/>
  <c r="AB37" i="63"/>
  <c r="N39" i="63" s="1"/>
  <c r="F42" i="63" s="1"/>
  <c r="AB36" i="63"/>
  <c r="AG40" i="39"/>
  <c r="G43" i="39" s="1"/>
  <c r="D13" i="12" s="1"/>
  <c r="AN37" i="39"/>
  <c r="AG39" i="39" s="1"/>
  <c r="F43" i="39" s="1"/>
  <c r="AM37" i="34"/>
  <c r="AF39" i="34" s="1"/>
  <c r="F43" i="34" s="1"/>
  <c r="AF40" i="34"/>
  <c r="G43" i="34" s="1"/>
  <c r="D11" i="12" s="1"/>
  <c r="AR40" i="34"/>
  <c r="G44" i="34" s="1"/>
  <c r="E11" i="12" s="1"/>
  <c r="BD37" i="34"/>
  <c r="AR39" i="34" s="1"/>
  <c r="F44" i="34" s="1"/>
  <c r="AB14" i="52"/>
  <c r="AA37" i="52"/>
  <c r="AA38" i="52"/>
  <c r="N41" i="52" s="1"/>
  <c r="G42" i="52" s="1"/>
  <c r="C9" i="12" s="1"/>
  <c r="CG36" i="57"/>
  <c r="CG37" i="57"/>
  <c r="BY39" i="57" s="1"/>
  <c r="F46" i="57" s="1"/>
  <c r="BE37" i="80"/>
  <c r="AS39" i="80" s="1"/>
  <c r="F44" i="80" s="1"/>
  <c r="AS40" i="80"/>
  <c r="G44" i="80" s="1"/>
  <c r="CG36" i="60"/>
  <c r="CG37" i="60"/>
  <c r="BY39" i="60" s="1"/>
  <c r="F46" i="60" s="1"/>
  <c r="AB37" i="52" l="1"/>
  <c r="AB38" i="52"/>
  <c r="N40" i="52" s="1"/>
  <c r="F42" i="52" s="1"/>
  <c r="AN38" i="52"/>
  <c r="AG40" i="52" s="1"/>
  <c r="F43" i="52" s="1"/>
  <c r="AG41" i="52"/>
  <c r="G43" i="52" s="1"/>
  <c r="D9" i="12" s="1"/>
  <c r="AS41" i="52"/>
  <c r="G44" i="52" s="1"/>
  <c r="E9" i="12" s="1"/>
  <c r="BE38" i="52"/>
  <c r="AS40" i="52" s="1"/>
  <c r="F44" i="52" s="1"/>
  <c r="CG38" i="52"/>
  <c r="BY40" i="52" s="1"/>
  <c r="F46" i="52" s="1"/>
  <c r="CG37" i="52"/>
</calcChain>
</file>

<file path=xl/comments1.xml><?xml version="1.0" encoding="utf-8"?>
<comments xmlns="http://schemas.openxmlformats.org/spreadsheetml/2006/main">
  <authors>
    <author>mulkernr</author>
  </authors>
  <commentList>
    <comment ref="N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escalation because using projected gas cost.</t>
        </r>
      </text>
    </comment>
    <comment ref="T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escalatipm beciase using 2016 cost
</t>
        </r>
      </text>
    </comment>
  </commentList>
</comments>
</file>

<file path=xl/comments2.xml><?xml version="1.0" encoding="utf-8"?>
<comments xmlns="http://schemas.openxmlformats.org/spreadsheetml/2006/main">
  <authors>
    <author>mulkernr</author>
  </authors>
  <commentList>
    <comment ref="N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escalation because using projected gas cost.</t>
        </r>
      </text>
    </comment>
    <comment ref="T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escalatipm beciase using 2016 cost
</t>
        </r>
      </text>
    </comment>
  </commentList>
</comments>
</file>

<file path=xl/comments3.xml><?xml version="1.0" encoding="utf-8"?>
<comments xmlns="http://schemas.openxmlformats.org/spreadsheetml/2006/main">
  <authors>
    <author>mulkernr</author>
  </authors>
  <commentList>
    <comment ref="N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escalation because using projected gas cost.</t>
        </r>
      </text>
    </comment>
    <comment ref="T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escalatipm beciase using 2016 cost
</t>
        </r>
      </text>
    </comment>
  </commentList>
</comments>
</file>

<file path=xl/comments4.xml><?xml version="1.0" encoding="utf-8"?>
<comments xmlns="http://schemas.openxmlformats.org/spreadsheetml/2006/main">
  <authors>
    <author>mulkernr</author>
  </authors>
  <commentList>
    <comment ref="N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escalation because using projected gas cost.</t>
        </r>
      </text>
    </comment>
    <comment ref="T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escalatipm beciase using 2016 cost
</t>
        </r>
      </text>
    </comment>
  </commentList>
</comments>
</file>

<file path=xl/comments5.xml><?xml version="1.0" encoding="utf-8"?>
<comments xmlns="http://schemas.openxmlformats.org/spreadsheetml/2006/main">
  <authors>
    <author>mulkernr</author>
  </authors>
  <commentList>
    <comment ref="N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escalation because using projected gas cost.</t>
        </r>
      </text>
    </comment>
    <comment ref="T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escalatipm beciase using 2016 cost
</t>
        </r>
      </text>
    </comment>
  </commentList>
</comments>
</file>

<file path=xl/comments6.xml><?xml version="1.0" encoding="utf-8"?>
<comments xmlns="http://schemas.openxmlformats.org/spreadsheetml/2006/main">
  <authors>
    <author>mulkernr</author>
  </authors>
  <commentList>
    <comment ref="N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escalation because using projected gas cost.</t>
        </r>
      </text>
    </comment>
    <comment ref="T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escalatipm beciase using 2016 cost
</t>
        </r>
      </text>
    </comment>
  </commentList>
</comments>
</file>

<file path=xl/comments7.xml><?xml version="1.0" encoding="utf-8"?>
<comments xmlns="http://schemas.openxmlformats.org/spreadsheetml/2006/main">
  <authors>
    <author>mulkernr</author>
  </authors>
  <commentList>
    <comment ref="N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escalation because using projected gas cost.</t>
        </r>
      </text>
    </comment>
    <comment ref="T14" authorId="0">
      <text>
        <r>
          <rPr>
            <b/>
            <sz val="9"/>
            <color indexed="81"/>
            <rFont val="Tahoma"/>
            <charset val="1"/>
          </rPr>
          <t>mulkernr:</t>
        </r>
        <r>
          <rPr>
            <sz val="9"/>
            <color indexed="81"/>
            <rFont val="Tahoma"/>
            <charset val="1"/>
          </rPr>
          <t xml:space="preserve">
no escalatipm beciase using 2016 cost
</t>
        </r>
      </text>
    </comment>
  </commentList>
</comments>
</file>

<file path=xl/sharedStrings.xml><?xml version="1.0" encoding="utf-8"?>
<sst xmlns="http://schemas.openxmlformats.org/spreadsheetml/2006/main" count="3759" uniqueCount="366">
  <si>
    <t>Retail Rate</t>
  </si>
  <si>
    <t>Table 1</t>
  </si>
  <si>
    <t>Table 2</t>
  </si>
  <si>
    <t>Table 3</t>
  </si>
  <si>
    <t>Table 4</t>
  </si>
  <si>
    <t>Ratepayer Impact Measure Test</t>
  </si>
  <si>
    <t>Utility Cost Test</t>
  </si>
  <si>
    <t>Societal Test</t>
  </si>
  <si>
    <t>Participant Test</t>
  </si>
  <si>
    <t>Company:</t>
  </si>
  <si>
    <t>Project:</t>
  </si>
  <si>
    <t xml:space="preserve">  Company:</t>
  </si>
  <si>
    <t xml:space="preserve">  Project:</t>
  </si>
  <si>
    <t>Input Data</t>
  </si>
  <si>
    <t>Benefits</t>
  </si>
  <si>
    <t>Costs</t>
  </si>
  <si>
    <t>16) Utility Project Costs</t>
  </si>
  <si>
    <t>Annual</t>
  </si>
  <si>
    <t xml:space="preserve">     Escalation Rate =</t>
  </si>
  <si>
    <t xml:space="preserve">   16a) Administrative &amp; Operating Costs =</t>
  </si>
  <si>
    <t>Total</t>
  </si>
  <si>
    <t>Variable</t>
  </si>
  <si>
    <t>Utility</t>
  </si>
  <si>
    <t>Gas</t>
  </si>
  <si>
    <t>Non-Gas</t>
  </si>
  <si>
    <t>Incentives</t>
  </si>
  <si>
    <t>Direct</t>
  </si>
  <si>
    <t xml:space="preserve">   16b) Incentive Costs =</t>
  </si>
  <si>
    <t xml:space="preserve">Energy </t>
  </si>
  <si>
    <t>Commodity</t>
  </si>
  <si>
    <t>O &amp; M</t>
  </si>
  <si>
    <t>Demand</t>
  </si>
  <si>
    <t>Retail</t>
  </si>
  <si>
    <t>Bill</t>
  </si>
  <si>
    <t>Less</t>
  </si>
  <si>
    <t>Program</t>
  </si>
  <si>
    <t>Energy</t>
  </si>
  <si>
    <t>Environmental</t>
  </si>
  <si>
    <t>Savings</t>
  </si>
  <si>
    <t>Participants'</t>
  </si>
  <si>
    <t>2) Non-Gas Fuel Retail Rate ($/Fuel Unit) =</t>
  </si>
  <si>
    <t xml:space="preserve">   16c) Total Utility Project Costs =</t>
  </si>
  <si>
    <t>t</t>
  </si>
  <si>
    <t>Year</t>
  </si>
  <si>
    <t>Reduction</t>
  </si>
  <si>
    <t>Rate</t>
  </si>
  <si>
    <t>Received</t>
  </si>
  <si>
    <t xml:space="preserve">    Escalation Rate =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</si>
  <si>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</si>
  <si>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</si>
  <si>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</si>
  <si>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</si>
  <si>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</si>
  <si>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</si>
  <si>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</si>
  <si>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</si>
  <si>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</si>
  <si>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</si>
  <si>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</si>
  <si>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</si>
  <si>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</si>
  <si>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</si>
  <si>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 xml:space="preserve">   Non-Gas Fuel Units (ie. kWh,Gallons, etc) =</t>
  </si>
  <si>
    <t>17) Direct Participant Costs ($/Part.) =</t>
  </si>
  <si>
    <t>18) Participant Non-Energy Costs (Annual $/Part.) =</t>
  </si>
  <si>
    <t xml:space="preserve">          Escalation Rate =</t>
  </si>
  <si>
    <t>4) Demand Cost ($/Unit/Yr) =</t>
  </si>
  <si>
    <t>19) Participant Non-Energy Savings (Annual $/Part) =</t>
  </si>
  <si>
    <t xml:space="preserve">5) Peak Reduction Factor = </t>
  </si>
  <si>
    <t>20) Project Life (Years) =</t>
  </si>
  <si>
    <t>22) Avg Non-Gas Fuel Units/Part. Saved =</t>
  </si>
  <si>
    <t>7) Non-Gas Fuel Cost ($/Fuel Unit) =</t>
  </si>
  <si>
    <t>22a) Avg Additional Non-Gas Fuel Units/ Part. Used =</t>
  </si>
  <si>
    <t>23) Number of Participants =</t>
  </si>
  <si>
    <t>8) Non-Gas Fuel Loss Factor</t>
  </si>
  <si>
    <t>9) Gas Environmental Damage Factor =</t>
  </si>
  <si>
    <t>25) Incentive/Participant =</t>
  </si>
  <si>
    <t>10) Non Gas Fuel Environmental Damage Factor =</t>
  </si>
  <si>
    <t>Total =</t>
  </si>
  <si>
    <t>11) Participant Discount Rate =</t>
  </si>
  <si>
    <t>NPV =</t>
  </si>
  <si>
    <t xml:space="preserve"> </t>
  </si>
  <si>
    <t>12) Utility Discount Rate =</t>
  </si>
  <si>
    <t>Total NPV =</t>
  </si>
  <si>
    <t>Benefit/Cost Ratio =</t>
  </si>
  <si>
    <t>13) Societal Discount Rate =</t>
  </si>
  <si>
    <t>14) General Input Data Year =</t>
  </si>
  <si>
    <t>15) Project Analysis Year 1 =</t>
  </si>
  <si>
    <t>Test Results</t>
  </si>
  <si>
    <t>NPV</t>
  </si>
  <si>
    <t>B/C</t>
  </si>
  <si>
    <t>26) Distribution Delivery Charge</t>
  </si>
  <si>
    <t>Lost</t>
  </si>
  <si>
    <t>Margin</t>
  </si>
  <si>
    <t>Montana-Dakota Utilities Co.</t>
  </si>
  <si>
    <t>Per Unit</t>
  </si>
  <si>
    <t>Distribution</t>
  </si>
  <si>
    <t>Peak Dk</t>
  </si>
  <si>
    <t>27) Effective Income Tax Rate =</t>
  </si>
  <si>
    <t>Damage</t>
  </si>
  <si>
    <t xml:space="preserve">Costs Net </t>
  </si>
  <si>
    <t>of  Rebate</t>
  </si>
  <si>
    <t>21) Avg. Dk/Part. Saved =</t>
  </si>
  <si>
    <t>24) Total Annual Dk Saved =</t>
  </si>
  <si>
    <t>1) Retail Rate ($/Dk) =</t>
  </si>
  <si>
    <t>3) Commodity Cost ($/Dk) =</t>
  </si>
  <si>
    <t>6) Variable O&amp;M ($/Dk) =</t>
  </si>
  <si>
    <t>Cost/Dk</t>
  </si>
  <si>
    <t>BEN/COST ANALYSIS FOR GAS CONSERVATION</t>
  </si>
  <si>
    <t>NATURAL GAS CONSERVATION PROGRAMS/DEMAND-SIDE MANAGEMENT</t>
  </si>
  <si>
    <t>RIM</t>
  </si>
  <si>
    <t>Societal</t>
  </si>
  <si>
    <t>Participant</t>
  </si>
  <si>
    <t>NA</t>
  </si>
  <si>
    <t>Totals</t>
  </si>
  <si>
    <t>Residential</t>
  </si>
  <si>
    <t>Participation</t>
  </si>
  <si>
    <t>Incentive</t>
  </si>
  <si>
    <t>Delivery</t>
  </si>
  <si>
    <t>Charge</t>
  </si>
  <si>
    <t>= (A) x (B)</t>
  </si>
  <si>
    <t>= Average Dk/Participant Saved (21) x Number of Participants (23) for Project Life (20)</t>
  </si>
  <si>
    <t>= (A) x Peak Reduction Factor (5)</t>
  </si>
  <si>
    <t>= Demand Cost (4) escalated.</t>
  </si>
  <si>
    <t>Worksheet Calculations</t>
  </si>
  <si>
    <t>= Table 1 (A)</t>
  </si>
  <si>
    <t>= Table 1 (M)</t>
  </si>
  <si>
    <t>= (A) + (B) + (C)</t>
  </si>
  <si>
    <t>= Incentive Costs (16b)</t>
  </si>
  <si>
    <t>= Retail Rate (1) escalated.</t>
  </si>
  <si>
    <t>=(B) x (C)</t>
  </si>
  <si>
    <t xml:space="preserve">Demand </t>
  </si>
  <si>
    <t>Savings/Dk</t>
  </si>
  <si>
    <t>($/Part.)</t>
  </si>
  <si>
    <t>= Gas Environmental Damage Factor (9), escalated</t>
  </si>
  <si>
    <t>= Table 1 (A) x (E)</t>
  </si>
  <si>
    <t>Fuel</t>
  </si>
  <si>
    <t>(O)</t>
  </si>
  <si>
    <t>= Variable O&amp;M Cost (6), escalated</t>
  </si>
  <si>
    <t>= Commodity Cost (3) escalated</t>
  </si>
  <si>
    <t>= (A) x (D)</t>
  </si>
  <si>
    <t>= (C) + (E)</t>
  </si>
  <si>
    <t>= (G) x (H)</t>
  </si>
  <si>
    <t>= (F) + (I)</t>
  </si>
  <si>
    <t>Admin</t>
  </si>
  <si>
    <t>(P)</t>
  </si>
  <si>
    <t>= Admin &amp; Operating Costs (16a)</t>
  </si>
  <si>
    <t>= (J) - (O)</t>
  </si>
  <si>
    <t>= (D) + (E)</t>
  </si>
  <si>
    <t>= (C) - (F)</t>
  </si>
  <si>
    <t>= (A) + (B) + (D) + (F)</t>
  </si>
  <si>
    <t>= (C) x [Avg. Non-Gas Fuel Units/Part.Saved (22) x No. of Part. (23)</t>
  </si>
  <si>
    <t>= Table 2 (F)</t>
  </si>
  <si>
    <t>= Direct Part. Costs (17) x No. of Part. (23) - Table 1 (N)</t>
  </si>
  <si>
    <t>= (H) + (I)</t>
  </si>
  <si>
    <t>= (G) - (J)</t>
  </si>
  <si>
    <t>= Table 1 (N)</t>
  </si>
  <si>
    <t>= (A) + (D) + (F)</t>
  </si>
  <si>
    <t>= (G) - (H)</t>
  </si>
  <si>
    <t>= Distribution Delivery Charge (26) escalated.</t>
  </si>
  <si>
    <t>= (A) x (K) x (1-Inverse of Tax Rate (27)</t>
  </si>
  <si>
    <t>= (L) + (M) + (N)</t>
  </si>
  <si>
    <t>= Table 1 (F)</t>
  </si>
  <si>
    <t>= Table 1 (I)</t>
  </si>
  <si>
    <t>= Table 1 (J)</t>
  </si>
  <si>
    <t>= Non-Gas Fuel Retail Rate (2), escalated.</t>
  </si>
  <si>
    <t>=  Direct Participant Costs (17) x Number of Participants (23)</t>
  </si>
  <si>
    <t>Input No.</t>
  </si>
  <si>
    <t>Input Data Description</t>
  </si>
  <si>
    <t xml:space="preserve">Information Source </t>
  </si>
  <si>
    <t>Retail Rate ($/dk)</t>
  </si>
  <si>
    <t>Non-Gas Fuel Retail ($/fuel/unit)</t>
  </si>
  <si>
    <t>Commodity Cost ($/dk)</t>
  </si>
  <si>
    <t>Demand Cost ($/dk/Yr)</t>
  </si>
  <si>
    <t>Peak Reduction Factor</t>
  </si>
  <si>
    <t>Variable O&amp;M ($/dk)</t>
  </si>
  <si>
    <t>Estimated variable O&amp;M that will be avoided due the implementing the measure</t>
  </si>
  <si>
    <t>Non-Gas Fuel Cost ($/Fuel Unit)</t>
  </si>
  <si>
    <t>Non-Gas Fuel Loss Factor</t>
  </si>
  <si>
    <t>Gas Environmental Damage Factor</t>
  </si>
  <si>
    <t>Participant Discount Rate</t>
  </si>
  <si>
    <t>Utility Discount Rate</t>
  </si>
  <si>
    <t>Societal Discount Rate</t>
  </si>
  <si>
    <t>General Input Data Year =</t>
  </si>
  <si>
    <t>Year data was input</t>
  </si>
  <si>
    <t>Utility Project Costs</t>
  </si>
  <si>
    <t xml:space="preserve">Total direct cost to the utility caused by implementing the program(s) </t>
  </si>
  <si>
    <t>Direct Participant Costs ($/Part.)</t>
  </si>
  <si>
    <t>Direct costs that the participant would have to participate in the program</t>
  </si>
  <si>
    <t>Project Life (Years)</t>
  </si>
  <si>
    <t>Based on the estimated useful life of the energy saving equipment (20 years maximum)</t>
  </si>
  <si>
    <t>Number of Participants</t>
  </si>
  <si>
    <t>Total number of expected participants is the program(s)</t>
  </si>
  <si>
    <t>Incentive/Participant</t>
  </si>
  <si>
    <t>Incentive provided to the participant</t>
  </si>
  <si>
    <t>Distribution Delivery Charge</t>
  </si>
  <si>
    <t>Effective Fed &amp; State Income Tax Rate</t>
  </si>
  <si>
    <t>Customer</t>
  </si>
  <si>
    <t>Not Applicable</t>
  </si>
  <si>
    <t>= Non-Gas Fuel Cost (7), adjusted for losses (8), escalated..</t>
  </si>
  <si>
    <t>Program Years:</t>
  </si>
  <si>
    <t>Avg energy reduction (Dk) caused by the program(s)</t>
  </si>
  <si>
    <t>Average</t>
  </si>
  <si>
    <t xml:space="preserve">NPV = </t>
  </si>
  <si>
    <t>Average retail cost of non gas fuel if measures also saves kWh, gallons of water, etc.  (for analysis purposes, used electric as Non-Gas Fuel Retail Rate)</t>
  </si>
  <si>
    <t>Average non-gas fuel units saved or added due to implementing the measure (for analysis purposes, used Kwh)</t>
  </si>
  <si>
    <t>Annual participant non-energy costs if applicable caused by implementing the measure (Not Applicable)</t>
  </si>
  <si>
    <t>Participant non energy savings if applicable caused by implementing the measure (Not Applicable)</t>
  </si>
  <si>
    <t>Average commodity cost of non gas fuel if measures also saves kWh, gallons of water, etc.  (for analysis purposes, used electric as Non-Gas Fuel Cost)</t>
  </si>
  <si>
    <t>Total Portfolio</t>
  </si>
  <si>
    <t>Benefit/Cost Ratios</t>
  </si>
  <si>
    <t xml:space="preserve">Total = </t>
  </si>
  <si>
    <t>Estimated average peak day reduction factor caused by implementing the measure (s)</t>
  </si>
  <si>
    <t>Participants</t>
  </si>
  <si>
    <t>Cost</t>
  </si>
  <si>
    <t>Table 5</t>
  </si>
  <si>
    <t>Total Resource Cost Test</t>
  </si>
  <si>
    <t>Project</t>
  </si>
  <si>
    <t>= Table 3 (D)</t>
  </si>
  <si>
    <t>= (E) + (F)</t>
  </si>
  <si>
    <t>= (D) - (G)</t>
  </si>
  <si>
    <t>Life</t>
  </si>
  <si>
    <t>= Table 3 (H)</t>
  </si>
  <si>
    <t>= Table 3 (I)</t>
  </si>
  <si>
    <t xml:space="preserve">Non Gas Fuel Environmental Damage Factor </t>
  </si>
  <si>
    <t xml:space="preserve">      (Federal &amp; State Taxes)</t>
  </si>
  <si>
    <t>Kwh</t>
  </si>
  <si>
    <t>Technical Assumptions</t>
  </si>
  <si>
    <t>Cost Assumptions</t>
  </si>
  <si>
    <t>Number of</t>
  </si>
  <si>
    <t>Non-Energy</t>
  </si>
  <si>
    <t>Baseline</t>
  </si>
  <si>
    <t>High</t>
  </si>
  <si>
    <t>dk Saved</t>
  </si>
  <si>
    <t xml:space="preserve">Cost </t>
  </si>
  <si>
    <t>Cost High</t>
  </si>
  <si>
    <t>incremental</t>
  </si>
  <si>
    <t>Class</t>
  </si>
  <si>
    <t>Efficiency</t>
  </si>
  <si>
    <t>/ part</t>
  </si>
  <si>
    <t>/ Part</t>
  </si>
  <si>
    <t>Std Equip</t>
  </si>
  <si>
    <t>Eff Equip</t>
  </si>
  <si>
    <t>Technical Notes</t>
  </si>
  <si>
    <t>75,000 btuh Average</t>
  </si>
  <si>
    <t>40 Gallon</t>
  </si>
  <si>
    <t>Water Heating Tier 2 (.67 EF)</t>
  </si>
  <si>
    <t>Custom Efficiency</t>
  </si>
  <si>
    <t>Water Heating (.67 EF)</t>
  </si>
  <si>
    <t>Commercial</t>
  </si>
  <si>
    <t>Residential Water Heating .67 EF</t>
  </si>
  <si>
    <t xml:space="preserve">Montana-Dakota's authorized average cost of capital </t>
  </si>
  <si>
    <t>Montana-Dakota's effective tax rate</t>
  </si>
  <si>
    <t>Dmd</t>
  </si>
  <si>
    <t xml:space="preserve"> '/ Unit</t>
  </si>
  <si>
    <t>Avg. Dk/Part. Saved</t>
  </si>
  <si>
    <t>Total Dk saved from the program in the year implemented</t>
  </si>
  <si>
    <t>Project Analysis Year</t>
  </si>
  <si>
    <t>Year(s) program will be implemented</t>
  </si>
  <si>
    <t>Total Annual Dk Saved</t>
  </si>
  <si>
    <t>Programs</t>
  </si>
  <si>
    <t>Total Programs</t>
  </si>
  <si>
    <t>Furnaces - 95+% AFUE  - New</t>
  </si>
  <si>
    <t>Residential 95+% AFUE Furnace - New</t>
  </si>
  <si>
    <t>Furnace (95+%) - New</t>
  </si>
  <si>
    <t>Furnace (95+%) - Replacement</t>
  </si>
  <si>
    <t>Residential 95+% AFUE Furnace - Replacement</t>
  </si>
  <si>
    <t>Commercial 95+% AFUE Furnace - Replacement</t>
  </si>
  <si>
    <t>Conservation Portfolio Summary</t>
  </si>
  <si>
    <t>Escalation Rate</t>
  </si>
  <si>
    <t>Escalation Rate Yr. 2</t>
  </si>
  <si>
    <t>Escalation Rate Yr. 1</t>
  </si>
  <si>
    <t>Escalation Rate Yr. 3</t>
  </si>
  <si>
    <t>Participant Non-Energy Costs (Annual $/Part.) Yr. 1</t>
  </si>
  <si>
    <t>Yr. 2</t>
  </si>
  <si>
    <t>Yr. 3</t>
  </si>
  <si>
    <t>Participant Non-Energy Savings (Annual $/Part) Yr. 1</t>
  </si>
  <si>
    <t>Avg Non-Gas Fuel Units/Part. Saved Yr. 1</t>
  </si>
  <si>
    <t>22a</t>
  </si>
  <si>
    <t>Avg Additional Non-Gas Fuel Units/ Part. Used Yr. 1</t>
  </si>
  <si>
    <t>Non-Gas Fuel Units (ie. kWh, Gallons, etc)</t>
  </si>
  <si>
    <t>SD Comm.</t>
  </si>
  <si>
    <t xml:space="preserve">Weighted Average of Montana-Dakota's Distribution Delivery Charge </t>
  </si>
  <si>
    <t>Gas Utility - South Dakota</t>
  </si>
  <si>
    <t>South Dakota Gas DSM Program Summary</t>
  </si>
  <si>
    <t>South Dakota Natural Gas DSM Programs</t>
  </si>
  <si>
    <t>Total South Dakota Program</t>
  </si>
  <si>
    <t>SD Res.</t>
  </si>
  <si>
    <t>75,000 btuh Avg.</t>
  </si>
  <si>
    <t>40 gal.</t>
  </si>
  <si>
    <t>Furnace Tier 2 - 95%+ AFUE - New</t>
  </si>
  <si>
    <t>Furnace Tier 2 - 95%+ AFUE - Replacement</t>
  </si>
  <si>
    <t>Dk Savings</t>
  </si>
  <si>
    <t>Total Residential</t>
  </si>
  <si>
    <t>Total Commercial</t>
  </si>
  <si>
    <t xml:space="preserve">Lifetime </t>
  </si>
  <si>
    <t>Furnaces - 95+% AFUE  - Repl.</t>
  </si>
  <si>
    <t xml:space="preserve"> Residential Program</t>
  </si>
  <si>
    <t>Commercial  Program</t>
  </si>
  <si>
    <t>Programmable Thermostats</t>
  </si>
  <si>
    <t>High Efficiency Furnace - 95%+ (new)</t>
  </si>
  <si>
    <t>High Efficiency Furnace - 95%+</t>
  </si>
  <si>
    <t>Commmercial &amp; Industrial</t>
  </si>
  <si>
    <t>High Efficiency Furnace - 95%+ (replacement)</t>
  </si>
  <si>
    <t>Custom</t>
  </si>
  <si>
    <t>Total Commercial and Industrial</t>
  </si>
  <si>
    <t>Total South Dakota</t>
  </si>
  <si>
    <t>Expense</t>
  </si>
  <si>
    <t>Allocation</t>
  </si>
  <si>
    <t>DSM Summary</t>
  </si>
  <si>
    <t>Expense 1/</t>
  </si>
  <si>
    <t>dk/part.</t>
  </si>
  <si>
    <t>Total Retail Rate</t>
  </si>
  <si>
    <t>Demand Cost (Avoided Capacity) ($/dk/yr)</t>
  </si>
  <si>
    <t>Demand Costs</t>
  </si>
  <si>
    <t>South Dakota</t>
  </si>
  <si>
    <t>Commercial 95+% AFUE Furnace - New</t>
  </si>
  <si>
    <t>Firm General</t>
  </si>
  <si>
    <t>Commercial Custom Program</t>
  </si>
  <si>
    <t>Resource</t>
  </si>
  <si>
    <t>Actual 2014</t>
  </si>
  <si>
    <t>Admin costs</t>
  </si>
  <si>
    <t>Average cost of gas   1/</t>
  </si>
  <si>
    <t>Total Demand Charges (February 2015 PGA)</t>
  </si>
  <si>
    <t xml:space="preserve"> Capacity requriements  2/</t>
  </si>
  <si>
    <t>2/  FT-1, FT-1 negotiated contract and T-FTG-1 capacity.</t>
  </si>
  <si>
    <t>Gas Commodity</t>
  </si>
  <si>
    <t>Non-gas commodity</t>
  </si>
  <si>
    <t xml:space="preserve">  Total</t>
  </si>
  <si>
    <t>Dk deliveries</t>
  </si>
  <si>
    <t>Base Rate</t>
  </si>
  <si>
    <t>Energy Charge</t>
  </si>
  <si>
    <t xml:space="preserve">   All Kwh</t>
  </si>
  <si>
    <t>Cost Adjustment</t>
  </si>
  <si>
    <t xml:space="preserve">   Total Bill </t>
  </si>
  <si>
    <t xml:space="preserve">   Average Realization</t>
  </si>
  <si>
    <t xml:space="preserve">   First 3000 Kwh</t>
  </si>
  <si>
    <t xml:space="preserve">   Over 3,000 Kwh</t>
  </si>
  <si>
    <t>Demand Charge</t>
  </si>
  <si>
    <t xml:space="preserve">   First 50 KW</t>
  </si>
  <si>
    <t xml:space="preserve">   Over 50 KW</t>
  </si>
  <si>
    <t>Cost of Fuel</t>
  </si>
  <si>
    <t>Base</t>
  </si>
  <si>
    <t>FPPA</t>
  </si>
  <si>
    <t>Electric - Black Hills Power</t>
  </si>
  <si>
    <t>Projected Cost of Gas - 2016</t>
  </si>
  <si>
    <t>Actual 2015</t>
  </si>
  <si>
    <t>High Efficiency Water Heater (.67+ EF)  1/</t>
  </si>
  <si>
    <t xml:space="preserve">2/  Administration expense allocated on incentive costs. </t>
  </si>
  <si>
    <t>2015 Input Data Summary</t>
  </si>
  <si>
    <t xml:space="preserve">Estimated 2016 gas costs and February 2016 pipeline commodity </t>
  </si>
  <si>
    <t>Annual cost of firm capacity on  pipeline - Feburary 2016 PGA</t>
  </si>
  <si>
    <t>South Dakota Natural Gas Conservation Model  - Actual 2015 Results</t>
  </si>
  <si>
    <t>1/  Based on February 2016 PGA adjusted to reflect the projected annual 2016 gas commodity cost.</t>
  </si>
  <si>
    <t>Weighted Average of SD retail rate using projected 2016 gas costs &amp; February 2016 pipeline and distribution</t>
  </si>
  <si>
    <t>1/  Program discontinued in 2015, reflects rebates for water heaters installed in 2014.</t>
  </si>
  <si>
    <t>2015 Program Year</t>
  </si>
  <si>
    <t xml:space="preserve">   16a) Administrative &amp; Operating Costs</t>
  </si>
  <si>
    <t>Non-Gas fuel loss factor (for analysis purposes, used Montana-Dakota 12 month ending July 2014loss factor)</t>
  </si>
  <si>
    <t>Per the 2013-2015 CIP triennium from Minnesota approved by the Minnesota Division of Energy Resources Staff</t>
  </si>
  <si>
    <t>Equal to the 30 year T-Bill rate average for Twelve Months Ending September 16, 2014</t>
  </si>
  <si>
    <t xml:space="preserve">Water Heating (.67 EF) </t>
  </si>
  <si>
    <t>Water heater program discontinued in 2015, reflects rebates for water heaters installed in 2014.</t>
  </si>
  <si>
    <t>per dk adj. for losses</t>
  </si>
  <si>
    <t>Commercial (Small general service)</t>
  </si>
  <si>
    <t>= (E) x [Avg. Non-Gas Fuel Units/Part.Saved (22) x No. of Part.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</si>
</sst>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#,##0.0_);\(#,##0.0\)"/>
    <numFmt numFmtId="166" formatCode="0.0%"/>
    <numFmt numFmtId="167" formatCode="&quot;$&quot;#,##0.000_);\(&quot;$&quot;#,##0.000\)"/>
    <numFmt numFmtId="168" formatCode="0.000%"/>
    <numFmt numFmtId="169" formatCode="#,##0.000_);\(#,##0.000\)"/>
    <numFmt numFmtId="170" formatCode="&quot;$&quot;#,##0"/>
    <numFmt numFmtId="171" formatCode="_(&quot;$&quot;* #,##0.000_);_(&quot;$&quot;* \(#,##0.000\);_(&quot;$&quot;* &quot;-&quot;??_);_(@_)"/>
    <numFmt numFmtId="172" formatCode="&quot;$&quot;#,##0.00000_);\(&quot;$&quot;#,##0.00000\)"/>
    <numFmt numFmtId="173" formatCode="#,##0.0_);[Red]\(#,##0.0\)"/>
    <numFmt numFmtId="174" formatCode="0.000"/>
    <numFmt numFmtId="175" formatCode="0.00000%"/>
    <numFmt numFmtId="176" formatCode="#,##0.000000_);\(#,##0.000000\)"/>
    <numFmt numFmtId="177" formatCode="General_)"/>
    <numFmt numFmtId="178" formatCode="mm/dd/yy"/>
    <numFmt numFmtId="179" formatCode="&quot;$&quot;#,##0.000000_);[Red]\(&quot;$&quot;#,##0.000000\)"/>
    <numFmt numFmtId="180" formatCode="&quot;$&quot;#,##0.00000_);[Red]\(&quot;$&quot;#,##0.00000\)"/>
    <numFmt numFmtId="181" formatCode="_(* #,##0_);_(* \(#,##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Helv"/>
    </font>
    <font>
      <i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3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4" borderId="0" applyNumberFormat="0" applyAlignment="0">
      <alignment horizontal="right"/>
    </xf>
    <xf numFmtId="0" fontId="2" fillId="6" borderId="0" applyNumberFormat="0" applyAlignment="0"/>
    <xf numFmtId="0" fontId="10" fillId="0" borderId="0"/>
    <xf numFmtId="44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3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0" fontId="1" fillId="0" borderId="0"/>
    <xf numFmtId="37" fontId="2" fillId="0" borderId="0"/>
    <xf numFmtId="3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/>
    <xf numFmtId="0" fontId="1" fillId="0" borderId="0"/>
    <xf numFmtId="177" fontId="15" fillId="0" borderId="0" applyFill="0"/>
    <xf numFmtId="0" fontId="1" fillId="0" borderId="0"/>
  </cellStyleXfs>
  <cellXfs count="557">
    <xf numFmtId="0" fontId="0" fillId="0" borderId="0" xfId="0"/>
    <xf numFmtId="0" fontId="4" fillId="0" borderId="0" xfId="4" applyFont="1" applyAlignment="1" applyProtection="1">
      <alignment horizontal="left"/>
    </xf>
    <xf numFmtId="0" fontId="5" fillId="0" borderId="0" xfId="4" applyFont="1"/>
    <xf numFmtId="0" fontId="5" fillId="0" borderId="0" xfId="4" applyFont="1" applyAlignment="1" applyProtection="1">
      <alignment horizontal="left"/>
    </xf>
    <xf numFmtId="0" fontId="5" fillId="0" borderId="0" xfId="4" applyFont="1" applyProtection="1"/>
    <xf numFmtId="7" fontId="5" fillId="0" borderId="0" xfId="4" applyNumberFormat="1" applyFont="1" applyAlignment="1" applyProtection="1">
      <alignment horizontal="left"/>
    </xf>
    <xf numFmtId="0" fontId="5" fillId="0" borderId="0" xfId="4" applyFont="1" applyAlignment="1" applyProtection="1">
      <alignment horizontal="right"/>
    </xf>
    <xf numFmtId="0" fontId="4" fillId="0" borderId="0" xfId="4" applyFont="1" applyAlignment="1" applyProtection="1">
      <alignment horizontal="left"/>
      <protection locked="0"/>
    </xf>
    <xf numFmtId="0" fontId="5" fillId="0" borderId="0" xfId="4" applyFont="1" applyAlignment="1">
      <alignment horizontal="center"/>
    </xf>
    <xf numFmtId="17" fontId="4" fillId="0" borderId="0" xfId="4" applyNumberFormat="1" applyFont="1" applyAlignment="1" applyProtection="1">
      <alignment horizontal="left"/>
      <protection locked="0"/>
    </xf>
    <xf numFmtId="0" fontId="4" fillId="0" borderId="0" xfId="4" applyFont="1" applyProtection="1"/>
    <xf numFmtId="0" fontId="5" fillId="0" borderId="0" xfId="4" applyFont="1" applyAlignment="1" applyProtection="1">
      <alignment horizontal="center"/>
    </xf>
    <xf numFmtId="0" fontId="5" fillId="0" borderId="0" xfId="4" applyFont="1" applyBorder="1"/>
    <xf numFmtId="0" fontId="5" fillId="0" borderId="1" xfId="4" applyFont="1" applyBorder="1"/>
    <xf numFmtId="167" fontId="5" fillId="0" borderId="0" xfId="4" applyNumberFormat="1" applyFont="1" applyProtection="1">
      <protection locked="0"/>
    </xf>
    <xf numFmtId="5" fontId="5" fillId="0" borderId="0" xfId="4" applyNumberFormat="1" applyFont="1" applyProtection="1"/>
    <xf numFmtId="0" fontId="5" fillId="0" borderId="0" xfId="4" applyFont="1" applyBorder="1" applyAlignment="1" applyProtection="1">
      <alignment horizontal="center"/>
    </xf>
    <xf numFmtId="10" fontId="5" fillId="0" borderId="0" xfId="4" applyNumberFormat="1" applyFont="1" applyProtection="1">
      <protection locked="0"/>
    </xf>
    <xf numFmtId="5" fontId="5" fillId="0" borderId="0" xfId="4" applyNumberFormat="1" applyFont="1" applyProtection="1">
      <protection locked="0"/>
    </xf>
    <xf numFmtId="10" fontId="5" fillId="0" borderId="0" xfId="4" applyNumberFormat="1" applyFont="1" applyProtection="1"/>
    <xf numFmtId="37" fontId="5" fillId="0" borderId="0" xfId="4" applyNumberFormat="1" applyFont="1" applyProtection="1"/>
    <xf numFmtId="7" fontId="5" fillId="0" borderId="0" xfId="4" applyNumberFormat="1" applyFont="1" applyProtection="1"/>
    <xf numFmtId="2" fontId="5" fillId="0" borderId="0" xfId="4" applyNumberFormat="1" applyFont="1" applyProtection="1"/>
    <xf numFmtId="0" fontId="5" fillId="0" borderId="0" xfId="4" quotePrefix="1" applyFont="1"/>
    <xf numFmtId="7" fontId="5" fillId="0" borderId="0" xfId="4" applyNumberFormat="1" applyFont="1" applyProtection="1">
      <protection locked="0"/>
    </xf>
    <xf numFmtId="7" fontId="5" fillId="0" borderId="0" xfId="4" applyNumberFormat="1" applyFont="1"/>
    <xf numFmtId="168" fontId="5" fillId="0" borderId="0" xfId="4" applyNumberFormat="1" applyFont="1" applyProtection="1">
      <protection locked="0"/>
    </xf>
    <xf numFmtId="37" fontId="5" fillId="0" borderId="0" xfId="4" applyNumberFormat="1" applyFont="1"/>
    <xf numFmtId="37" fontId="5" fillId="0" borderId="0" xfId="4" applyNumberFormat="1" applyFont="1" applyProtection="1">
      <protection locked="0"/>
    </xf>
    <xf numFmtId="7" fontId="5" fillId="0" borderId="0" xfId="4" applyNumberFormat="1" applyFont="1" applyBorder="1" applyProtection="1"/>
    <xf numFmtId="5" fontId="5" fillId="0" borderId="0" xfId="4" applyNumberFormat="1" applyFont="1" applyBorder="1" applyProtection="1"/>
    <xf numFmtId="37" fontId="5" fillId="0" borderId="0" xfId="4" applyNumberFormat="1" applyFont="1" applyBorder="1" applyProtection="1"/>
    <xf numFmtId="0" fontId="5" fillId="0" borderId="0" xfId="0" applyFont="1"/>
    <xf numFmtId="39" fontId="5" fillId="0" borderId="0" xfId="4" applyNumberFormat="1" applyFont="1" applyProtection="1"/>
    <xf numFmtId="166" fontId="5" fillId="0" borderId="0" xfId="4" applyNumberFormat="1" applyFont="1" applyProtection="1"/>
    <xf numFmtId="0" fontId="5" fillId="0" borderId="0" xfId="4" applyFont="1" applyFill="1" applyAlignment="1" applyProtection="1">
      <alignment horizontal="left"/>
    </xf>
    <xf numFmtId="171" fontId="5" fillId="0" borderId="0" xfId="2" applyNumberFormat="1" applyFont="1" applyFill="1" applyProtection="1">
      <protection locked="0"/>
    </xf>
    <xf numFmtId="0" fontId="5" fillId="0" borderId="0" xfId="4" applyFont="1" applyFill="1"/>
    <xf numFmtId="37" fontId="5" fillId="0" borderId="0" xfId="4" applyNumberFormat="1" applyFont="1" applyFill="1"/>
    <xf numFmtId="10" fontId="5" fillId="0" borderId="0" xfId="4" applyNumberFormat="1" applyFont="1" applyBorder="1" applyProtection="1">
      <protection locked="0"/>
    </xf>
    <xf numFmtId="0" fontId="5" fillId="0" borderId="0" xfId="4" applyFont="1" applyBorder="1" applyAlignment="1" applyProtection="1">
      <alignment horizontal="left"/>
    </xf>
    <xf numFmtId="0" fontId="5" fillId="0" borderId="0" xfId="4" applyFont="1" applyBorder="1" applyProtection="1"/>
    <xf numFmtId="3" fontId="5" fillId="0" borderId="0" xfId="4" applyNumberFormat="1" applyFont="1" applyAlignment="1" applyProtection="1"/>
    <xf numFmtId="7" fontId="5" fillId="0" borderId="0" xfId="4" applyNumberFormat="1" applyFont="1" applyAlignment="1" applyProtection="1"/>
    <xf numFmtId="0" fontId="4" fillId="0" borderId="0" xfId="4" applyFont="1"/>
    <xf numFmtId="164" fontId="5" fillId="0" borderId="0" xfId="4" applyNumberFormat="1" applyFont="1" applyProtection="1"/>
    <xf numFmtId="167" fontId="5" fillId="0" borderId="0" xfId="2" applyNumberFormat="1" applyFont="1" applyFill="1" applyProtection="1">
      <protection locked="0"/>
    </xf>
    <xf numFmtId="0" fontId="4" fillId="2" borderId="1" xfId="4" applyFont="1" applyFill="1" applyBorder="1" applyAlignment="1" applyProtection="1">
      <alignment horizontal="centerContinuous"/>
    </xf>
    <xf numFmtId="0" fontId="4" fillId="2" borderId="1" xfId="4" applyFont="1" applyFill="1" applyBorder="1" applyAlignment="1">
      <alignment horizontal="centerContinuous"/>
    </xf>
    <xf numFmtId="38" fontId="5" fillId="0" borderId="0" xfId="4" applyNumberFormat="1" applyFont="1" applyBorder="1" applyProtection="1"/>
    <xf numFmtId="37" fontId="5" fillId="0" borderId="1" xfId="4" applyNumberFormat="1" applyFont="1" applyBorder="1" applyProtection="1"/>
    <xf numFmtId="38" fontId="5" fillId="0" borderId="1" xfId="4" applyNumberFormat="1" applyFont="1" applyBorder="1" applyProtection="1"/>
    <xf numFmtId="0" fontId="5" fillId="0" borderId="0" xfId="4" applyFont="1" applyBorder="1" applyAlignment="1">
      <alignment horizontal="center"/>
    </xf>
    <xf numFmtId="40" fontId="5" fillId="0" borderId="2" xfId="4" applyNumberFormat="1" applyFont="1" applyBorder="1" applyProtection="1"/>
    <xf numFmtId="38" fontId="5" fillId="0" borderId="0" xfId="4" applyNumberFormat="1" applyFont="1" applyBorder="1"/>
    <xf numFmtId="0" fontId="4" fillId="0" borderId="0" xfId="4" applyFont="1" applyAlignment="1">
      <alignment horizontal="centerContinuous"/>
    </xf>
    <xf numFmtId="0" fontId="4" fillId="0" borderId="0" xfId="4" applyFont="1" applyAlignment="1" applyProtection="1">
      <alignment horizontal="centerContinuous"/>
    </xf>
    <xf numFmtId="0" fontId="5" fillId="0" borderId="3" xfId="4" applyFont="1" applyBorder="1" applyAlignment="1" applyProtection="1">
      <alignment horizontal="left"/>
    </xf>
    <xf numFmtId="0" fontId="5" fillId="0" borderId="3" xfId="4" applyFont="1" applyBorder="1" applyProtection="1"/>
    <xf numFmtId="0" fontId="4" fillId="3" borderId="7" xfId="4" applyFont="1" applyFill="1" applyBorder="1" applyProtection="1"/>
    <xf numFmtId="0" fontId="4" fillId="3" borderId="8" xfId="4" applyFont="1" applyFill="1" applyBorder="1" applyAlignment="1" applyProtection="1">
      <alignment horizontal="center"/>
    </xf>
    <xf numFmtId="0" fontId="4" fillId="3" borderId="9" xfId="4" applyFont="1" applyFill="1" applyBorder="1" applyAlignment="1" applyProtection="1">
      <alignment horizontal="center"/>
    </xf>
    <xf numFmtId="169" fontId="5" fillId="0" borderId="0" xfId="1" applyNumberFormat="1" applyFont="1" applyAlignment="1" applyProtection="1">
      <alignment horizontal="right"/>
    </xf>
    <xf numFmtId="37" fontId="5" fillId="0" borderId="0" xfId="1" applyFont="1" applyProtection="1"/>
    <xf numFmtId="37" fontId="5" fillId="0" borderId="0" xfId="1" applyFont="1"/>
    <xf numFmtId="0" fontId="5" fillId="0" borderId="0" xfId="4" quotePrefix="1" applyFont="1" applyAlignment="1" applyProtection="1">
      <alignment horizontal="left"/>
    </xf>
    <xf numFmtId="37" fontId="5" fillId="0" borderId="0" xfId="1" applyFont="1" applyBorder="1" applyProtection="1"/>
    <xf numFmtId="4" fontId="5" fillId="0" borderId="0" xfId="4" applyNumberFormat="1" applyFont="1" applyBorder="1" applyProtection="1">
      <protection locked="0"/>
    </xf>
    <xf numFmtId="0" fontId="5" fillId="0" borderId="0" xfId="0" quotePrefix="1" applyFont="1" applyFill="1" applyAlignment="1" applyProtection="1">
      <alignment horizontal="left"/>
    </xf>
    <xf numFmtId="6" fontId="5" fillId="0" borderId="0" xfId="3" applyNumberFormat="1" applyFont="1" applyBorder="1" applyProtection="1"/>
    <xf numFmtId="0" fontId="5" fillId="0" borderId="0" xfId="0" applyFont="1" applyBorder="1"/>
    <xf numFmtId="37" fontId="5" fillId="0" borderId="1" xfId="1" applyFont="1" applyBorder="1" applyProtection="1"/>
    <xf numFmtId="37" fontId="5" fillId="0" borderId="1" xfId="1" applyFont="1" applyBorder="1"/>
    <xf numFmtId="0" fontId="5" fillId="0" borderId="0" xfId="4" applyFont="1" applyAlignment="1">
      <alignment horizontal="centerContinuous"/>
    </xf>
    <xf numFmtId="0" fontId="5" fillId="0" borderId="0" xfId="4" applyFont="1" applyFill="1" applyBorder="1" applyAlignment="1" applyProtection="1">
      <alignment horizontal="centerContinuous"/>
    </xf>
    <xf numFmtId="0" fontId="4" fillId="0" borderId="0" xfId="4" applyFont="1" applyFill="1" applyBorder="1" applyAlignment="1">
      <alignment horizontal="centerContinuous"/>
    </xf>
    <xf numFmtId="0" fontId="4" fillId="3" borderId="7" xfId="4" applyFont="1" applyFill="1" applyBorder="1" applyAlignment="1">
      <alignment horizontal="centerContinuous"/>
    </xf>
    <xf numFmtId="0" fontId="4" fillId="3" borderId="8" xfId="4" applyFont="1" applyFill="1" applyBorder="1" applyAlignment="1">
      <alignment horizontal="centerContinuous"/>
    </xf>
    <xf numFmtId="0" fontId="4" fillId="3" borderId="9" xfId="4" applyFont="1" applyFill="1" applyBorder="1" applyAlignment="1">
      <alignment horizontal="centerContinuous"/>
    </xf>
    <xf numFmtId="0" fontId="5" fillId="0" borderId="3" xfId="4" applyFont="1" applyBorder="1"/>
    <xf numFmtId="0" fontId="5" fillId="0" borderId="0" xfId="4" quotePrefix="1" applyFont="1" applyBorder="1" applyAlignment="1" applyProtection="1">
      <alignment horizontal="left"/>
    </xf>
    <xf numFmtId="0" fontId="5" fillId="0" borderId="0" xfId="4" applyFont="1" applyBorder="1" applyAlignment="1">
      <alignment horizontal="right"/>
    </xf>
    <xf numFmtId="0" fontId="5" fillId="0" borderId="4" xfId="4" applyFont="1" applyBorder="1"/>
    <xf numFmtId="0" fontId="5" fillId="0" borderId="0" xfId="4" quotePrefix="1" applyFont="1" applyBorder="1"/>
    <xf numFmtId="0" fontId="5" fillId="0" borderId="5" xfId="4" applyFont="1" applyBorder="1"/>
    <xf numFmtId="0" fontId="5" fillId="0" borderId="1" xfId="4" quotePrefix="1" applyFont="1" applyBorder="1"/>
    <xf numFmtId="0" fontId="5" fillId="0" borderId="1" xfId="4" applyFont="1" applyBorder="1" applyAlignment="1">
      <alignment horizontal="right"/>
    </xf>
    <xf numFmtId="0" fontId="5" fillId="0" borderId="6" xfId="4" applyFont="1" applyBorder="1"/>
    <xf numFmtId="0" fontId="4" fillId="5" borderId="1" xfId="4" applyFont="1" applyFill="1" applyBorder="1" applyAlignment="1" applyProtection="1">
      <alignment horizontal="centerContinuous"/>
    </xf>
    <xf numFmtId="0" fontId="4" fillId="5" borderId="1" xfId="4" applyFont="1" applyFill="1" applyBorder="1" applyAlignment="1">
      <alignment horizontal="centerContinuous"/>
    </xf>
    <xf numFmtId="0" fontId="5" fillId="3" borderId="8" xfId="4" applyFont="1" applyFill="1" applyBorder="1" applyAlignment="1">
      <alignment horizontal="centerContinuous"/>
    </xf>
    <xf numFmtId="0" fontId="5" fillId="3" borderId="9" xfId="4" applyFont="1" applyFill="1" applyBorder="1" applyAlignment="1">
      <alignment horizontal="centerContinuous"/>
    </xf>
    <xf numFmtId="0" fontId="5" fillId="0" borderId="12" xfId="4" applyFont="1" applyBorder="1"/>
    <xf numFmtId="0" fontId="5" fillId="0" borderId="13" xfId="4" quotePrefix="1" applyFont="1" applyBorder="1" applyAlignment="1" applyProtection="1">
      <alignment horizontal="left"/>
    </xf>
    <xf numFmtId="0" fontId="5" fillId="0" borderId="13" xfId="4" applyFont="1" applyBorder="1"/>
    <xf numFmtId="0" fontId="5" fillId="0" borderId="13" xfId="4" applyFont="1" applyBorder="1" applyAlignment="1">
      <alignment horizontal="right"/>
    </xf>
    <xf numFmtId="0" fontId="5" fillId="0" borderId="14" xfId="4" applyFont="1" applyBorder="1"/>
    <xf numFmtId="0" fontId="5" fillId="0" borderId="1" xfId="4" quotePrefix="1" applyFont="1" applyBorder="1" applyAlignment="1" applyProtection="1">
      <alignment horizontal="left"/>
    </xf>
    <xf numFmtId="0" fontId="5" fillId="0" borderId="0" xfId="4" quotePrefix="1" applyFont="1" applyFill="1" applyBorder="1"/>
    <xf numFmtId="0" fontId="5" fillId="0" borderId="0" xfId="4" applyFont="1" applyFill="1" applyBorder="1"/>
    <xf numFmtId="0" fontId="5" fillId="0" borderId="0" xfId="4" quotePrefix="1" applyFont="1" applyFill="1" applyBorder="1" applyAlignment="1" applyProtection="1">
      <alignment horizontal="left"/>
    </xf>
    <xf numFmtId="0" fontId="5" fillId="0" borderId="1" xfId="4" quotePrefix="1" applyFont="1" applyFill="1" applyBorder="1"/>
    <xf numFmtId="0" fontId="5" fillId="0" borderId="1" xfId="4" applyFont="1" applyFill="1" applyBorder="1"/>
    <xf numFmtId="0" fontId="8" fillId="0" borderId="0" xfId="4" applyFont="1" applyFill="1" applyBorder="1"/>
    <xf numFmtId="0" fontId="8" fillId="0" borderId="0" xfId="4" applyFont="1" applyFill="1" applyBorder="1" applyAlignment="1" applyProtection="1">
      <alignment horizontal="left"/>
    </xf>
    <xf numFmtId="0" fontId="8" fillId="0" borderId="0" xfId="0" applyFont="1" applyFill="1" applyBorder="1"/>
    <xf numFmtId="0" fontId="7" fillId="0" borderId="0" xfId="4" applyFont="1" applyFill="1" applyBorder="1" applyAlignment="1">
      <alignment horizontal="centerContinuous"/>
    </xf>
    <xf numFmtId="0" fontId="8" fillId="0" borderId="0" xfId="4" applyFont="1" applyFill="1" applyBorder="1" applyAlignment="1">
      <alignment horizontal="centerContinuous"/>
    </xf>
    <xf numFmtId="37" fontId="5" fillId="0" borderId="0" xfId="1" applyNumberFormat="1" applyFont="1" applyAlignment="1" applyProtection="1"/>
    <xf numFmtId="37" fontId="5" fillId="0" borderId="1" xfId="1" applyNumberFormat="1" applyFont="1" applyBorder="1" applyAlignment="1" applyProtection="1"/>
    <xf numFmtId="0" fontId="5" fillId="0" borderId="0" xfId="4" quotePrefix="1" applyFont="1" applyBorder="1" applyAlignment="1">
      <alignment horizontal="left"/>
    </xf>
    <xf numFmtId="0" fontId="5" fillId="2" borderId="1" xfId="4" applyFont="1" applyFill="1" applyBorder="1" applyAlignment="1">
      <alignment horizontal="centerContinuous"/>
    </xf>
    <xf numFmtId="0" fontId="5" fillId="5" borderId="1" xfId="4" applyFont="1" applyFill="1" applyBorder="1" applyAlignment="1">
      <alignment horizontal="centerContinuous"/>
    </xf>
    <xf numFmtId="0" fontId="5" fillId="5" borderId="1" xfId="4" applyFont="1" applyFill="1" applyBorder="1" applyAlignment="1" applyProtection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5" fillId="2" borderId="1" xfId="4" applyFont="1" applyFill="1" applyBorder="1" applyAlignment="1" applyProtection="1">
      <alignment horizontal="centerContinuous"/>
    </xf>
    <xf numFmtId="0" fontId="5" fillId="0" borderId="0" xfId="4" applyFont="1" applyBorder="1" applyAlignment="1">
      <alignment horizontal="left"/>
    </xf>
    <xf numFmtId="0" fontId="5" fillId="0" borderId="1" xfId="4" quotePrefix="1" applyFont="1" applyBorder="1" applyAlignment="1">
      <alignment horizontal="left"/>
    </xf>
    <xf numFmtId="0" fontId="5" fillId="0" borderId="12" xfId="4" applyFont="1" applyBorder="1" applyAlignment="1">
      <alignment horizontal="right"/>
    </xf>
    <xf numFmtId="0" fontId="5" fillId="0" borderId="3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2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169" fontId="5" fillId="0" borderId="0" xfId="1" applyNumberFormat="1" applyFont="1" applyBorder="1" applyAlignment="1" applyProtection="1">
      <alignment horizontal="right"/>
    </xf>
    <xf numFmtId="37" fontId="5" fillId="0" borderId="0" xfId="4" applyNumberFormat="1" applyFont="1" applyFill="1" applyProtection="1"/>
    <xf numFmtId="0" fontId="4" fillId="0" borderId="0" xfId="4" applyFont="1" applyFill="1" applyBorder="1" applyAlignment="1" applyProtection="1">
      <alignment horizontal="centerContinuous"/>
    </xf>
    <xf numFmtId="0" fontId="4" fillId="5" borderId="1" xfId="4" applyFont="1" applyFill="1" applyBorder="1" applyAlignment="1" applyProtection="1">
      <alignment horizontal="center"/>
    </xf>
    <xf numFmtId="37" fontId="5" fillId="0" borderId="0" xfId="4" applyNumberFormat="1" applyFont="1" applyFill="1" applyBorder="1" applyProtection="1"/>
    <xf numFmtId="37" fontId="5" fillId="0" borderId="1" xfId="4" applyNumberFormat="1" applyFont="1" applyFill="1" applyBorder="1" applyProtection="1"/>
    <xf numFmtId="0" fontId="5" fillId="0" borderId="0" xfId="4" applyFont="1" applyFill="1" applyBorder="1" applyAlignment="1">
      <alignment horizontal="centerContinuous"/>
    </xf>
    <xf numFmtId="0" fontId="5" fillId="0" borderId="5" xfId="4" applyFont="1" applyFill="1" applyBorder="1" applyAlignment="1">
      <alignment horizontal="center"/>
    </xf>
    <xf numFmtId="0" fontId="5" fillId="0" borderId="4" xfId="4" quotePrefix="1" applyFont="1" applyBorder="1"/>
    <xf numFmtId="0" fontId="5" fillId="0" borderId="5" xfId="4" applyFont="1" applyBorder="1" applyAlignment="1">
      <alignment horizontal="left"/>
    </xf>
    <xf numFmtId="40" fontId="5" fillId="0" borderId="0" xfId="4" applyNumberFormat="1" applyFont="1" applyBorder="1" applyProtection="1"/>
    <xf numFmtId="169" fontId="5" fillId="0" borderId="0" xfId="1" applyNumberFormat="1" applyFont="1" applyFill="1" applyProtection="1"/>
    <xf numFmtId="37" fontId="5" fillId="0" borderId="0" xfId="1" applyFont="1" applyFill="1" applyProtection="1"/>
    <xf numFmtId="37" fontId="5" fillId="0" borderId="1" xfId="1" applyFont="1" applyFill="1" applyBorder="1" applyProtection="1"/>
    <xf numFmtId="5" fontId="5" fillId="0" borderId="0" xfId="1" applyNumberFormat="1" applyFont="1" applyProtection="1"/>
    <xf numFmtId="0" fontId="5" fillId="0" borderId="0" xfId="4" applyFont="1" applyAlignment="1" applyProtection="1"/>
    <xf numFmtId="0" fontId="5" fillId="0" borderId="0" xfId="4" applyFont="1" applyFill="1" applyBorder="1" applyAlignment="1">
      <alignment horizontal="center"/>
    </xf>
    <xf numFmtId="37" fontId="5" fillId="0" borderId="0" xfId="4" applyNumberFormat="1" applyFont="1" applyBorder="1"/>
    <xf numFmtId="169" fontId="5" fillId="0" borderId="0" xfId="1" applyNumberFormat="1" applyFont="1" applyFill="1" applyBorder="1" applyProtection="1"/>
    <xf numFmtId="0" fontId="5" fillId="0" borderId="0" xfId="4" applyFont="1" applyAlignment="1"/>
    <xf numFmtId="0" fontId="5" fillId="0" borderId="1" xfId="4" applyFont="1" applyBorder="1" applyAlignment="1" applyProtection="1">
      <alignment horizontal="left"/>
    </xf>
    <xf numFmtId="0" fontId="5" fillId="0" borderId="0" xfId="4" applyFont="1" applyBorder="1" applyAlignment="1" applyProtection="1">
      <alignment horizontal="fill"/>
    </xf>
    <xf numFmtId="0" fontId="5" fillId="0" borderId="0" xfId="4" applyFont="1" applyFill="1" applyAlignment="1">
      <alignment horizontal="center"/>
    </xf>
    <xf numFmtId="0" fontId="5" fillId="0" borderId="0" xfId="4" applyFont="1" applyFill="1" applyBorder="1" applyAlignment="1" applyProtection="1">
      <alignment horizontal="fill"/>
    </xf>
    <xf numFmtId="0" fontId="5" fillId="0" borderId="0" xfId="4" applyFont="1" applyAlignment="1" applyProtection="1">
      <alignment horizontal="fill"/>
    </xf>
    <xf numFmtId="7" fontId="5" fillId="0" borderId="0" xfId="4" applyNumberFormat="1" applyFont="1" applyBorder="1" applyAlignment="1" applyProtection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4" quotePrefix="1" applyFont="1" applyBorder="1" applyAlignment="1" applyProtection="1">
      <alignment horizontal="center"/>
    </xf>
    <xf numFmtId="0" fontId="5" fillId="0" borderId="0" xfId="4" quotePrefix="1" applyFont="1" applyBorder="1" applyAlignment="1">
      <alignment horizontal="center"/>
    </xf>
    <xf numFmtId="7" fontId="5" fillId="0" borderId="0" xfId="4" applyNumberFormat="1" applyFont="1" applyFill="1" applyBorder="1" applyAlignment="1" applyProtection="1">
      <alignment horizontal="center"/>
    </xf>
    <xf numFmtId="7" fontId="5" fillId="0" borderId="0" xfId="4" quotePrefix="1" applyNumberFormat="1" applyFont="1" applyBorder="1" applyAlignment="1" applyProtection="1">
      <alignment horizontal="center"/>
    </xf>
    <xf numFmtId="0" fontId="5" fillId="0" borderId="1" xfId="4" applyFont="1" applyBorder="1" applyAlignment="1" applyProtection="1">
      <alignment horizontal="center"/>
    </xf>
    <xf numFmtId="0" fontId="5" fillId="0" borderId="1" xfId="4" applyFont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7" fontId="5" fillId="0" borderId="0" xfId="4" applyNumberFormat="1" applyFont="1" applyFill="1" applyAlignment="1" applyProtection="1">
      <alignment horizontal="left"/>
    </xf>
    <xf numFmtId="167" fontId="5" fillId="0" borderId="0" xfId="2" applyNumberFormat="1" applyFont="1" applyAlignment="1" applyProtection="1">
      <alignment horizontal="right"/>
    </xf>
    <xf numFmtId="5" fontId="5" fillId="0" borderId="0" xfId="2" applyFont="1" applyProtection="1"/>
    <xf numFmtId="5" fontId="5" fillId="0" borderId="0" xfId="4" applyNumberFormat="1" applyFont="1"/>
    <xf numFmtId="167" fontId="5" fillId="0" borderId="0" xfId="4" applyNumberFormat="1" applyFont="1" applyFill="1" applyProtection="1"/>
    <xf numFmtId="5" fontId="5" fillId="0" borderId="0" xfId="4" applyNumberFormat="1" applyFont="1" applyFill="1" applyProtection="1"/>
    <xf numFmtId="5" fontId="5" fillId="0" borderId="0" xfId="2" applyFont="1"/>
    <xf numFmtId="10" fontId="5" fillId="0" borderId="0" xfId="4" applyNumberFormat="1" applyFont="1"/>
    <xf numFmtId="0" fontId="5" fillId="0" borderId="0" xfId="4" applyFont="1" applyAlignment="1">
      <alignment horizontal="left"/>
    </xf>
    <xf numFmtId="17" fontId="4" fillId="0" borderId="0" xfId="4" applyNumberFormat="1" applyFont="1"/>
    <xf numFmtId="0" fontId="2" fillId="0" borderId="0" xfId="4" applyFont="1" applyBorder="1" applyAlignment="1" applyProtection="1">
      <alignment horizontal="center"/>
    </xf>
    <xf numFmtId="5" fontId="5" fillId="0" borderId="0" xfId="4" applyNumberFormat="1" applyFont="1" applyBorder="1" applyAlignment="1" applyProtection="1">
      <alignment horizontal="right"/>
    </xf>
    <xf numFmtId="37" fontId="5" fillId="0" borderId="0" xfId="1" applyNumberFormat="1" applyFont="1" applyBorder="1" applyAlignment="1" applyProtection="1">
      <alignment horizontal="right"/>
    </xf>
    <xf numFmtId="0" fontId="2" fillId="0" borderId="1" xfId="4" applyFont="1" applyBorder="1" applyAlignment="1">
      <alignment horizontal="center"/>
    </xf>
    <xf numFmtId="0" fontId="2" fillId="0" borderId="13" xfId="4" quotePrefix="1" applyFont="1" applyBorder="1" applyAlignment="1" applyProtection="1">
      <alignment horizontal="left"/>
    </xf>
    <xf numFmtId="0" fontId="2" fillId="0" borderId="0" xfId="4" quotePrefix="1" applyFont="1" applyBorder="1" applyAlignment="1" applyProtection="1">
      <alignment horizontal="left"/>
    </xf>
    <xf numFmtId="0" fontId="2" fillId="0" borderId="0" xfId="4" quotePrefix="1" applyFont="1" applyFill="1" applyBorder="1" applyAlignment="1" applyProtection="1">
      <alignment horizontal="left"/>
    </xf>
    <xf numFmtId="0" fontId="2" fillId="0" borderId="0" xfId="4" quotePrefix="1" applyFont="1" applyFill="1" applyBorder="1"/>
    <xf numFmtId="0" fontId="5" fillId="0" borderId="6" xfId="4" applyFont="1" applyFill="1" applyBorder="1"/>
    <xf numFmtId="40" fontId="5" fillId="0" borderId="4" xfId="4" applyNumberFormat="1" applyFont="1" applyBorder="1" applyProtection="1"/>
    <xf numFmtId="0" fontId="5" fillId="0" borderId="12" xfId="4" applyFont="1" applyBorder="1" applyAlignment="1" applyProtection="1">
      <alignment horizontal="left"/>
    </xf>
    <xf numFmtId="5" fontId="5" fillId="0" borderId="13" xfId="4" applyNumberFormat="1" applyFont="1" applyBorder="1" applyProtection="1"/>
    <xf numFmtId="40" fontId="5" fillId="0" borderId="14" xfId="4" applyNumberFormat="1" applyFont="1" applyBorder="1" applyProtection="1"/>
    <xf numFmtId="0" fontId="2" fillId="0" borderId="5" xfId="4" applyFont="1" applyBorder="1"/>
    <xf numFmtId="5" fontId="5" fillId="0" borderId="1" xfId="4" applyNumberFormat="1" applyFont="1" applyBorder="1"/>
    <xf numFmtId="40" fontId="5" fillId="0" borderId="6" xfId="4" applyNumberFormat="1" applyFont="1" applyBorder="1"/>
    <xf numFmtId="0" fontId="2" fillId="0" borderId="0" xfId="4" quotePrefix="1" applyFont="1" applyAlignment="1">
      <alignment horizontal="left"/>
    </xf>
    <xf numFmtId="0" fontId="2" fillId="0" borderId="1" xfId="4" applyFont="1" applyBorder="1" applyAlignment="1" applyProtection="1">
      <alignment horizontal="center"/>
    </xf>
    <xf numFmtId="0" fontId="2" fillId="0" borderId="0" xfId="4" applyFont="1" applyAlignment="1" applyProtection="1">
      <alignment horizontal="left"/>
    </xf>
    <xf numFmtId="168" fontId="5" fillId="0" borderId="0" xfId="0" applyNumberFormat="1" applyFont="1" applyFill="1" applyProtection="1">
      <protection locked="0"/>
    </xf>
    <xf numFmtId="0" fontId="2" fillId="0" borderId="0" xfId="4" applyFont="1"/>
    <xf numFmtId="10" fontId="2" fillId="0" borderId="0" xfId="4" applyNumberFormat="1" applyFont="1" applyAlignment="1" applyProtection="1">
      <alignment horizontal="right"/>
      <protection locked="0"/>
    </xf>
    <xf numFmtId="37" fontId="9" fillId="0" borderId="0" xfId="4" applyNumberFormat="1" applyFont="1" applyFill="1" applyProtection="1">
      <protection locked="0"/>
    </xf>
    <xf numFmtId="6" fontId="9" fillId="0" borderId="0" xfId="3" applyNumberFormat="1" applyFont="1" applyProtection="1">
      <protection locked="0"/>
    </xf>
    <xf numFmtId="5" fontId="9" fillId="0" borderId="0" xfId="4" applyNumberFormat="1" applyFont="1" applyProtection="1"/>
    <xf numFmtId="0" fontId="5" fillId="0" borderId="0" xfId="4" applyFont="1" applyAlignment="1" applyProtection="1">
      <alignment horizontal="center"/>
      <protection locked="0"/>
    </xf>
    <xf numFmtId="0" fontId="2" fillId="0" borderId="0" xfId="4" quotePrefix="1" applyFont="1" applyAlignment="1" applyProtection="1">
      <alignment horizontal="left"/>
    </xf>
    <xf numFmtId="37" fontId="5" fillId="0" borderId="0" xfId="4" applyNumberFormat="1" applyFont="1" applyFill="1" applyProtection="1">
      <protection locked="0"/>
    </xf>
    <xf numFmtId="5" fontId="2" fillId="0" borderId="0" xfId="4" applyNumberFormat="1" applyFont="1" applyProtection="1">
      <protection locked="0"/>
    </xf>
    <xf numFmtId="37" fontId="2" fillId="0" borderId="0" xfId="4" applyNumberFormat="1" applyFont="1" applyProtection="1">
      <protection locked="0"/>
    </xf>
    <xf numFmtId="169" fontId="2" fillId="0" borderId="0" xfId="4" applyNumberFormat="1" applyFont="1" applyProtection="1"/>
    <xf numFmtId="0" fontId="2" fillId="0" borderId="0" xfId="4" applyFont="1" applyBorder="1" applyAlignment="1">
      <alignment horizontal="center"/>
    </xf>
    <xf numFmtId="10" fontId="5" fillId="0" borderId="0" xfId="17" applyNumberFormat="1" applyFont="1" applyProtection="1"/>
    <xf numFmtId="0" fontId="2" fillId="0" borderId="0" xfId="9" applyFont="1" applyFill="1"/>
    <xf numFmtId="0" fontId="2" fillId="0" borderId="0" xfId="9" applyFont="1" applyFill="1" applyAlignment="1">
      <alignment horizontal="center"/>
    </xf>
    <xf numFmtId="38" fontId="2" fillId="0" borderId="0" xfId="9" applyNumberFormat="1" applyFont="1" applyFill="1" applyAlignment="1"/>
    <xf numFmtId="173" fontId="2" fillId="0" borderId="0" xfId="9" applyNumberFormat="1" applyFont="1" applyFill="1" applyAlignment="1">
      <alignment horizontal="right"/>
    </xf>
    <xf numFmtId="0" fontId="2" fillId="0" borderId="0" xfId="9" applyFont="1" applyFill="1" applyBorder="1"/>
    <xf numFmtId="0" fontId="2" fillId="0" borderId="0" xfId="9" applyFont="1" applyFill="1" applyBorder="1" applyAlignment="1">
      <alignment horizontal="center"/>
    </xf>
    <xf numFmtId="38" fontId="2" fillId="0" borderId="0" xfId="9" applyNumberFormat="1" applyFont="1" applyFill="1" applyBorder="1" applyAlignment="1"/>
    <xf numFmtId="173" fontId="2" fillId="0" borderId="0" xfId="9" applyNumberFormat="1" applyFont="1" applyFill="1" applyBorder="1" applyAlignment="1">
      <alignment horizontal="right"/>
    </xf>
    <xf numFmtId="0" fontId="2" fillId="0" borderId="10" xfId="5" applyFont="1" applyFill="1" applyBorder="1" applyAlignment="1">
      <alignment wrapText="1"/>
    </xf>
    <xf numFmtId="38" fontId="2" fillId="0" borderId="0" xfId="6" applyNumberFormat="1" applyFont="1" applyFill="1" applyAlignment="1">
      <alignment horizontal="centerContinuous"/>
    </xf>
    <xf numFmtId="38" fontId="2" fillId="0" borderId="0" xfId="6" applyNumberFormat="1" applyFont="1" applyFill="1"/>
    <xf numFmtId="0" fontId="4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10" xfId="0" applyFont="1" applyFill="1" applyBorder="1"/>
    <xf numFmtId="0" fontId="2" fillId="0" borderId="10" xfId="5" applyFont="1" applyFill="1" applyBorder="1" applyAlignment="1">
      <alignment horizontal="left" wrapText="1"/>
    </xf>
    <xf numFmtId="0" fontId="2" fillId="0" borderId="9" xfId="5" applyFont="1" applyFill="1" applyBorder="1" applyAlignment="1">
      <alignment wrapText="1"/>
    </xf>
    <xf numFmtId="0" fontId="2" fillId="0" borderId="16" xfId="5" applyFont="1" applyFill="1" applyBorder="1" applyAlignment="1">
      <alignment wrapText="1"/>
    </xf>
    <xf numFmtId="0" fontId="2" fillId="0" borderId="10" xfId="5" applyFont="1" applyBorder="1" applyAlignment="1">
      <alignment wrapText="1"/>
    </xf>
    <xf numFmtId="0" fontId="2" fillId="0" borderId="17" xfId="5" applyFont="1" applyBorder="1" applyAlignment="1">
      <alignment wrapText="1"/>
    </xf>
    <xf numFmtId="0" fontId="4" fillId="0" borderId="0" xfId="5" applyFont="1" applyAlignment="1">
      <alignment horizontal="centerContinuous" wrapText="1"/>
    </xf>
    <xf numFmtId="0" fontId="2" fillId="0" borderId="0" xfId="5" applyFont="1" applyAlignment="1">
      <alignment horizontal="centerContinuous" wrapText="1"/>
    </xf>
    <xf numFmtId="0" fontId="2" fillId="0" borderId="0" xfId="5" applyFont="1" applyAlignment="1">
      <alignment wrapText="1"/>
    </xf>
    <xf numFmtId="0" fontId="4" fillId="3" borderId="10" xfId="5" applyFont="1" applyFill="1" applyBorder="1" applyAlignment="1" applyProtection="1">
      <alignment horizontal="center" wrapText="1"/>
    </xf>
    <xf numFmtId="0" fontId="4" fillId="3" borderId="10" xfId="5" applyFont="1" applyFill="1" applyBorder="1" applyAlignment="1">
      <alignment horizontal="center" wrapText="1"/>
    </xf>
    <xf numFmtId="0" fontId="2" fillId="0" borderId="10" xfId="5" applyFont="1" applyFill="1" applyBorder="1" applyAlignment="1" applyProtection="1">
      <alignment horizontal="center" wrapText="1"/>
    </xf>
    <xf numFmtId="0" fontId="2" fillId="0" borderId="10" xfId="5" applyFont="1" applyFill="1" applyBorder="1" applyAlignment="1" applyProtection="1">
      <alignment wrapText="1"/>
    </xf>
    <xf numFmtId="10" fontId="2" fillId="0" borderId="10" xfId="17" applyNumberFormat="1" applyFont="1" applyFill="1" applyBorder="1" applyAlignment="1">
      <alignment wrapText="1"/>
    </xf>
    <xf numFmtId="0" fontId="2" fillId="0" borderId="10" xfId="5" applyFont="1" applyFill="1" applyBorder="1" applyAlignment="1" applyProtection="1">
      <alignment horizontal="center" vertical="top" wrapText="1"/>
    </xf>
    <xf numFmtId="0" fontId="2" fillId="0" borderId="10" xfId="5" applyFont="1" applyFill="1" applyBorder="1" applyAlignment="1" applyProtection="1">
      <alignment vertical="top" wrapText="1"/>
    </xf>
    <xf numFmtId="0" fontId="2" fillId="0" borderId="0" xfId="5" applyFont="1" applyFill="1" applyAlignment="1">
      <alignment wrapText="1"/>
    </xf>
    <xf numFmtId="0" fontId="2" fillId="0" borderId="10" xfId="4" applyFont="1" applyFill="1" applyBorder="1" applyAlignment="1" applyProtection="1">
      <alignment horizontal="left" wrapText="1"/>
    </xf>
    <xf numFmtId="0" fontId="2" fillId="0" borderId="10" xfId="5" applyFont="1" applyFill="1" applyBorder="1" applyAlignment="1">
      <alignment horizontal="center" wrapText="1"/>
    </xf>
    <xf numFmtId="168" fontId="2" fillId="0" borderId="10" xfId="17" applyNumberFormat="1" applyFont="1" applyFill="1" applyBorder="1" applyAlignment="1">
      <alignment wrapText="1"/>
    </xf>
    <xf numFmtId="0" fontId="2" fillId="0" borderId="10" xfId="4" applyFont="1" applyFill="1" applyBorder="1" applyAlignment="1">
      <alignment wrapText="1"/>
    </xf>
    <xf numFmtId="5" fontId="2" fillId="0" borderId="10" xfId="2" applyFont="1" applyFill="1" applyBorder="1" applyAlignment="1">
      <alignment wrapText="1"/>
    </xf>
    <xf numFmtId="0" fontId="2" fillId="0" borderId="10" xfId="4" applyFont="1" applyFill="1" applyBorder="1" applyAlignment="1" applyProtection="1">
      <alignment horizontal="left" vertical="top" wrapText="1"/>
    </xf>
    <xf numFmtId="10" fontId="2" fillId="0" borderId="10" xfId="5" applyNumberFormat="1" applyFont="1" applyFill="1" applyBorder="1" applyAlignment="1">
      <alignment wrapText="1"/>
    </xf>
    <xf numFmtId="0" fontId="2" fillId="7" borderId="10" xfId="5" applyFont="1" applyFill="1" applyBorder="1" applyAlignment="1">
      <alignment wrapText="1"/>
    </xf>
    <xf numFmtId="0" fontId="2" fillId="0" borderId="0" xfId="4" applyFont="1" applyAlignment="1" applyProtection="1">
      <alignment horizontal="left" wrapText="1"/>
    </xf>
    <xf numFmtId="0" fontId="2" fillId="0" borderId="10" xfId="4" applyFont="1" applyBorder="1" applyAlignment="1" applyProtection="1">
      <alignment horizontal="left" wrapText="1"/>
    </xf>
    <xf numFmtId="0" fontId="2" fillId="0" borderId="10" xfId="4" applyFont="1" applyBorder="1" applyAlignment="1">
      <alignment wrapText="1"/>
    </xf>
    <xf numFmtId="0" fontId="2" fillId="0" borderId="10" xfId="0" applyFont="1" applyFill="1" applyBorder="1" applyAlignment="1" applyProtection="1">
      <alignment horizontal="left" wrapText="1"/>
    </xf>
    <xf numFmtId="9" fontId="2" fillId="0" borderId="10" xfId="17" applyFont="1" applyFill="1" applyBorder="1" applyAlignment="1">
      <alignment wrapText="1"/>
    </xf>
    <xf numFmtId="9" fontId="2" fillId="0" borderId="10" xfId="17" applyFont="1" applyBorder="1" applyAlignment="1">
      <alignment wrapText="1"/>
    </xf>
    <xf numFmtId="0" fontId="2" fillId="0" borderId="0" xfId="4" applyFont="1" applyAlignment="1">
      <alignment wrapText="1"/>
    </xf>
    <xf numFmtId="0" fontId="2" fillId="0" borderId="0" xfId="4" applyFont="1" applyFill="1" applyAlignment="1">
      <alignment wrapText="1"/>
    </xf>
    <xf numFmtId="37" fontId="2" fillId="0" borderId="0" xfId="1" applyFont="1" applyFill="1" applyAlignment="1">
      <alignment horizontal="right"/>
    </xf>
    <xf numFmtId="37" fontId="2" fillId="0" borderId="0" xfId="1" applyFont="1" applyFill="1" applyAlignment="1"/>
    <xf numFmtId="37" fontId="2" fillId="0" borderId="0" xfId="1" applyFont="1" applyFill="1" applyBorder="1" applyAlignment="1">
      <alignment horizontal="right"/>
    </xf>
    <xf numFmtId="37" fontId="2" fillId="0" borderId="0" xfId="1" applyFont="1" applyFill="1" applyBorder="1" applyAlignment="1"/>
    <xf numFmtId="37" fontId="2" fillId="0" borderId="0" xfId="1" applyFont="1" applyFill="1" applyBorder="1"/>
    <xf numFmtId="37" fontId="5" fillId="0" borderId="0" xfId="1" applyNumberFormat="1" applyFont="1" applyBorder="1" applyAlignment="1" applyProtection="1"/>
    <xf numFmtId="37" fontId="5" fillId="0" borderId="0" xfId="1" applyFont="1" applyFill="1" applyBorder="1" applyProtection="1"/>
    <xf numFmtId="7" fontId="5" fillId="0" borderId="0" xfId="4" applyNumberFormat="1" applyFont="1" applyBorder="1"/>
    <xf numFmtId="37" fontId="5" fillId="0" borderId="0" xfId="1" applyFont="1" applyBorder="1"/>
    <xf numFmtId="0" fontId="4" fillId="0" borderId="0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15" xfId="0" applyFont="1" applyFill="1" applyBorder="1"/>
    <xf numFmtId="0" fontId="4" fillId="0" borderId="0" xfId="9" applyFont="1" applyFill="1"/>
    <xf numFmtId="0" fontId="4" fillId="0" borderId="0" xfId="9" applyFont="1" applyFill="1" applyAlignment="1">
      <alignment horizontal="centerContinuous"/>
    </xf>
    <xf numFmtId="0" fontId="2" fillId="0" borderId="0" xfId="9" applyFont="1" applyFill="1" applyAlignment="1">
      <alignment horizontal="centerContinuous"/>
    </xf>
    <xf numFmtId="0" fontId="4" fillId="0" borderId="0" xfId="9" applyFont="1" applyFill="1" applyAlignment="1">
      <alignment horizontal="left"/>
    </xf>
    <xf numFmtId="0" fontId="4" fillId="0" borderId="0" xfId="9" applyFont="1" applyFill="1" applyAlignment="1">
      <alignment horizontal="center"/>
    </xf>
    <xf numFmtId="0" fontId="13" fillId="0" borderId="0" xfId="9" applyFont="1" applyFill="1"/>
    <xf numFmtId="0" fontId="13" fillId="0" borderId="0" xfId="9" applyFont="1" applyFill="1" applyAlignment="1">
      <alignment horizontal="center"/>
    </xf>
    <xf numFmtId="0" fontId="4" fillId="0" borderId="0" xfId="9" applyFont="1" applyFill="1" applyBorder="1"/>
    <xf numFmtId="0" fontId="4" fillId="0" borderId="0" xfId="9" applyFont="1" applyFill="1" applyBorder="1" applyAlignment="1">
      <alignment horizontal="center"/>
    </xf>
    <xf numFmtId="38" fontId="4" fillId="0" borderId="0" xfId="9" applyNumberFormat="1" applyFont="1" applyFill="1" applyBorder="1" applyAlignment="1"/>
    <xf numFmtId="6" fontId="4" fillId="0" borderId="0" xfId="9" applyNumberFormat="1" applyFont="1" applyFill="1" applyBorder="1"/>
    <xf numFmtId="38" fontId="2" fillId="0" borderId="0" xfId="9" applyNumberFormat="1" applyFont="1" applyFill="1"/>
    <xf numFmtId="172" fontId="2" fillId="0" borderId="10" xfId="2" applyNumberFormat="1" applyFont="1" applyFill="1" applyBorder="1" applyAlignment="1">
      <alignment wrapText="1"/>
    </xf>
    <xf numFmtId="17" fontId="4" fillId="0" borderId="0" xfId="4" applyNumberFormat="1" applyFont="1" applyFill="1" applyAlignment="1" applyProtection="1">
      <alignment horizontal="left"/>
      <protection locked="0"/>
    </xf>
    <xf numFmtId="0" fontId="2" fillId="0" borderId="0" xfId="4" applyFont="1" applyFill="1"/>
    <xf numFmtId="38" fontId="2" fillId="0" borderId="0" xfId="6" applyNumberFormat="1" applyFont="1" applyFill="1" applyBorder="1"/>
    <xf numFmtId="0" fontId="4" fillId="0" borderId="0" xfId="6" applyFont="1" applyFill="1" applyAlignment="1">
      <alignment horizontal="centerContinuous"/>
    </xf>
    <xf numFmtId="0" fontId="2" fillId="0" borderId="0" xfId="6" applyFont="1" applyFill="1" applyAlignment="1">
      <alignment horizontal="centerContinuous"/>
    </xf>
    <xf numFmtId="0" fontId="2" fillId="0" borderId="0" xfId="6" applyFont="1" applyFill="1"/>
    <xf numFmtId="0" fontId="4" fillId="0" borderId="0" xfId="6" applyFont="1" applyFill="1" applyAlignment="1">
      <alignment horizontal="center"/>
    </xf>
    <xf numFmtId="0" fontId="2" fillId="0" borderId="0" xfId="6" applyFont="1" applyFill="1" applyBorder="1"/>
    <xf numFmtId="0" fontId="2" fillId="0" borderId="0" xfId="6" applyFont="1" applyFill="1" applyAlignment="1">
      <alignment horizontal="left" indent="2"/>
    </xf>
    <xf numFmtId="39" fontId="2" fillId="0" borderId="0" xfId="6" applyNumberFormat="1" applyFont="1" applyFill="1" applyBorder="1"/>
    <xf numFmtId="0" fontId="2" fillId="0" borderId="0" xfId="6" applyFont="1" applyFill="1" applyAlignment="1">
      <alignment horizontal="left" indent="1"/>
    </xf>
    <xf numFmtId="0" fontId="2" fillId="0" borderId="0" xfId="6" applyFont="1" applyFill="1" applyAlignment="1">
      <alignment horizontal="center"/>
    </xf>
    <xf numFmtId="38" fontId="2" fillId="0" borderId="0" xfId="6" applyNumberFormat="1" applyFont="1" applyFill="1" applyAlignment="1">
      <alignment horizontal="center"/>
    </xf>
    <xf numFmtId="0" fontId="2" fillId="0" borderId="1" xfId="6" applyFont="1" applyFill="1" applyBorder="1" applyAlignment="1">
      <alignment horizontal="center"/>
    </xf>
    <xf numFmtId="37" fontId="2" fillId="0" borderId="0" xfId="6" applyNumberFormat="1" applyFont="1" applyFill="1" applyBorder="1"/>
    <xf numFmtId="5" fontId="2" fillId="0" borderId="0" xfId="6" applyNumberFormat="1" applyFont="1" applyFill="1"/>
    <xf numFmtId="37" fontId="2" fillId="0" borderId="1" xfId="6" applyNumberFormat="1" applyFont="1" applyFill="1" applyBorder="1"/>
    <xf numFmtId="5" fontId="2" fillId="0" borderId="0" xfId="6" applyNumberFormat="1" applyFont="1" applyFill="1" applyBorder="1"/>
    <xf numFmtId="37" fontId="2" fillId="0" borderId="2" xfId="6" applyNumberFormat="1" applyFont="1" applyFill="1" applyBorder="1"/>
    <xf numFmtId="5" fontId="2" fillId="0" borderId="2" xfId="6" applyNumberFormat="1" applyFont="1" applyFill="1" applyBorder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37" fontId="0" fillId="0" borderId="0" xfId="0" applyNumberFormat="1" applyFill="1"/>
    <xf numFmtId="5" fontId="0" fillId="0" borderId="0" xfId="0" applyNumberFormat="1" applyFill="1"/>
    <xf numFmtId="10" fontId="0" fillId="0" borderId="0" xfId="17" applyNumberFormat="1" applyFont="1" applyFill="1"/>
    <xf numFmtId="0" fontId="0" fillId="0" borderId="0" xfId="0" applyFill="1" applyAlignment="1">
      <alignment horizontal="left" indent="1"/>
    </xf>
    <xf numFmtId="37" fontId="0" fillId="0" borderId="1" xfId="0" applyNumberFormat="1" applyFill="1" applyBorder="1"/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/>
    </xf>
    <xf numFmtId="37" fontId="0" fillId="0" borderId="2" xfId="0" applyNumberFormat="1" applyFill="1" applyBorder="1"/>
    <xf numFmtId="5" fontId="0" fillId="0" borderId="2" xfId="0" applyNumberFormat="1" applyFill="1" applyBorder="1"/>
    <xf numFmtId="37" fontId="0" fillId="0" borderId="0" xfId="0" applyNumberFormat="1" applyFill="1" applyBorder="1"/>
    <xf numFmtId="0" fontId="0" fillId="0" borderId="0" xfId="0" applyFill="1" applyBorder="1"/>
    <xf numFmtId="17" fontId="4" fillId="0" borderId="0" xfId="4" quotePrefix="1" applyNumberFormat="1" applyFont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  <xf numFmtId="0" fontId="2" fillId="0" borderId="0" xfId="6" applyFont="1" applyFill="1" applyBorder="1" applyAlignment="1">
      <alignment horizontal="center"/>
    </xf>
    <xf numFmtId="38" fontId="2" fillId="0" borderId="1" xfId="6" applyNumberFormat="1" applyFont="1" applyFill="1" applyBorder="1" applyAlignment="1">
      <alignment horizontal="center"/>
    </xf>
    <xf numFmtId="7" fontId="2" fillId="0" borderId="0" xfId="6" applyNumberFormat="1" applyFont="1" applyFill="1" applyBorder="1"/>
    <xf numFmtId="7" fontId="2" fillId="0" borderId="2" xfId="6" applyNumberFormat="1" applyFont="1" applyFill="1" applyBorder="1"/>
    <xf numFmtId="39" fontId="2" fillId="0" borderId="1" xfId="6" applyNumberFormat="1" applyFont="1" applyFill="1" applyBorder="1"/>
    <xf numFmtId="10" fontId="0" fillId="0" borderId="2" xfId="17" applyNumberFormat="1" applyFont="1" applyFill="1" applyBorder="1"/>
    <xf numFmtId="37" fontId="2" fillId="0" borderId="1" xfId="4" applyNumberFormat="1" applyFont="1" applyBorder="1" applyProtection="1">
      <protection locked="0"/>
    </xf>
    <xf numFmtId="0" fontId="2" fillId="0" borderId="0" xfId="0" applyFont="1"/>
    <xf numFmtId="37" fontId="0" fillId="0" borderId="0" xfId="1" applyFont="1" applyFill="1"/>
    <xf numFmtId="37" fontId="0" fillId="0" borderId="1" xfId="1" applyFont="1" applyFill="1" applyBorder="1"/>
    <xf numFmtId="37" fontId="0" fillId="0" borderId="2" xfId="1" applyFont="1" applyFill="1" applyBorder="1"/>
    <xf numFmtId="37" fontId="2" fillId="0" borderId="0" xfId="1" applyFont="1" applyProtection="1">
      <protection locked="0"/>
    </xf>
    <xf numFmtId="37" fontId="2" fillId="0" borderId="1" xfId="1" applyFont="1" applyFill="1" applyBorder="1"/>
    <xf numFmtId="37" fontId="2" fillId="0" borderId="2" xfId="1" applyFont="1" applyFill="1" applyBorder="1"/>
    <xf numFmtId="0" fontId="2" fillId="0" borderId="0" xfId="6" applyFont="1" applyFill="1" applyAlignment="1">
      <alignment horizontal="left"/>
    </xf>
    <xf numFmtId="0" fontId="14" fillId="0" borderId="0" xfId="6" applyFont="1" applyFill="1"/>
    <xf numFmtId="10" fontId="0" fillId="0" borderId="1" xfId="17" applyNumberFormat="1" applyFont="1" applyFill="1" applyBorder="1"/>
    <xf numFmtId="175" fontId="0" fillId="0" borderId="0" xfId="17" applyNumberFormat="1" applyFont="1" applyFill="1"/>
    <xf numFmtId="0" fontId="2" fillId="0" borderId="0" xfId="4" applyFont="1" applyAlignment="1">
      <alignment horizontal="centerContinuous"/>
    </xf>
    <xf numFmtId="0" fontId="2" fillId="0" borderId="0" xfId="4" applyFont="1" applyProtection="1"/>
    <xf numFmtId="7" fontId="2" fillId="0" borderId="0" xfId="4" applyNumberFormat="1" applyFont="1" applyAlignment="1" applyProtection="1">
      <alignment horizontal="left"/>
    </xf>
    <xf numFmtId="0" fontId="2" fillId="0" borderId="0" xfId="4" applyFont="1" applyAlignment="1"/>
    <xf numFmtId="0" fontId="2" fillId="0" borderId="0" xfId="4" applyFont="1" applyAlignment="1">
      <alignment horizontal="center"/>
    </xf>
    <xf numFmtId="0" fontId="2" fillId="0" borderId="0" xfId="4" applyFont="1" applyAlignment="1" applyProtection="1">
      <alignment horizontal="right"/>
    </xf>
    <xf numFmtId="0" fontId="2" fillId="0" borderId="0" xfId="4" applyFont="1" applyAlignment="1" applyProtection="1"/>
    <xf numFmtId="0" fontId="2" fillId="0" borderId="0" xfId="4" applyFont="1" applyBorder="1"/>
    <xf numFmtId="0" fontId="2" fillId="5" borderId="1" xfId="4" applyFont="1" applyFill="1" applyBorder="1" applyAlignment="1">
      <alignment horizontal="centerContinuous"/>
    </xf>
    <xf numFmtId="0" fontId="2" fillId="5" borderId="1" xfId="4" applyFont="1" applyFill="1" applyBorder="1" applyAlignment="1" applyProtection="1">
      <alignment horizontal="centerContinuous"/>
    </xf>
    <xf numFmtId="0" fontId="2" fillId="2" borderId="1" xfId="4" applyFont="1" applyFill="1" applyBorder="1" applyAlignment="1">
      <alignment horizontal="centerContinuous"/>
    </xf>
    <xf numFmtId="0" fontId="2" fillId="0" borderId="0" xfId="4" applyFont="1" applyFill="1" applyBorder="1" applyAlignment="1" applyProtection="1">
      <alignment horizontal="centerContinuous"/>
    </xf>
    <xf numFmtId="0" fontId="2" fillId="2" borderId="1" xfId="4" applyFont="1" applyFill="1" applyBorder="1" applyAlignment="1" applyProtection="1">
      <alignment horizontal="centerContinuous"/>
    </xf>
    <xf numFmtId="0" fontId="2" fillId="0" borderId="1" xfId="4" applyFont="1" applyBorder="1" applyAlignment="1" applyProtection="1">
      <alignment horizontal="left"/>
    </xf>
    <xf numFmtId="0" fontId="2" fillId="0" borderId="1" xfId="4" applyFont="1" applyBorder="1"/>
    <xf numFmtId="0" fontId="2" fillId="0" borderId="0" xfId="4" applyFont="1" applyBorder="1" applyAlignment="1" applyProtection="1">
      <alignment horizontal="fill"/>
    </xf>
    <xf numFmtId="0" fontId="2" fillId="0" borderId="0" xfId="0" applyFont="1" applyBorder="1"/>
    <xf numFmtId="0" fontId="2" fillId="0" borderId="0" xfId="4" applyFont="1" applyFill="1" applyAlignment="1">
      <alignment horizontal="center"/>
    </xf>
    <xf numFmtId="0" fontId="2" fillId="0" borderId="0" xfId="4" applyFont="1" applyFill="1" applyBorder="1" applyAlignment="1" applyProtection="1">
      <alignment horizontal="fill"/>
    </xf>
    <xf numFmtId="0" fontId="2" fillId="0" borderId="0" xfId="4" applyFont="1" applyAlignment="1" applyProtection="1">
      <alignment horizontal="fill"/>
    </xf>
    <xf numFmtId="7" fontId="2" fillId="0" borderId="0" xfId="4" applyNumberFormat="1" applyFont="1" applyBorder="1" applyAlignment="1" applyProtection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4" quotePrefix="1" applyFont="1" applyBorder="1" applyAlignment="1" applyProtection="1">
      <alignment horizontal="center"/>
    </xf>
    <xf numFmtId="0" fontId="2" fillId="0" borderId="0" xfId="4" applyFont="1" applyFill="1" applyBorder="1"/>
    <xf numFmtId="167" fontId="2" fillId="0" borderId="0" xfId="4" applyNumberFormat="1" applyFont="1" applyProtection="1">
      <protection locked="0"/>
    </xf>
    <xf numFmtId="5" fontId="2" fillId="0" borderId="0" xfId="4" applyNumberFormat="1" applyFont="1" applyProtection="1"/>
    <xf numFmtId="10" fontId="2" fillId="0" borderId="0" xfId="4" applyNumberFormat="1" applyFont="1" applyProtection="1"/>
    <xf numFmtId="0" fontId="2" fillId="0" borderId="0" xfId="4" quotePrefix="1" applyFont="1" applyBorder="1" applyAlignment="1">
      <alignment horizontal="center"/>
    </xf>
    <xf numFmtId="7" fontId="2" fillId="0" borderId="0" xfId="4" applyNumberFormat="1" applyFont="1" applyFill="1" applyBorder="1" applyAlignment="1" applyProtection="1">
      <alignment horizontal="center"/>
    </xf>
    <xf numFmtId="10" fontId="2" fillId="0" borderId="0" xfId="4" applyNumberFormat="1" applyFont="1" applyProtection="1">
      <protection locked="0"/>
    </xf>
    <xf numFmtId="7" fontId="2" fillId="0" borderId="0" xfId="4" quotePrefix="1" applyNumberFormat="1" applyFont="1" applyBorder="1" applyAlignment="1" applyProtection="1">
      <alignment horizontal="center"/>
    </xf>
    <xf numFmtId="0" fontId="2" fillId="0" borderId="0" xfId="4" quotePrefix="1" applyFont="1" applyBorder="1" applyAlignment="1">
      <alignment horizontal="left"/>
    </xf>
    <xf numFmtId="0" fontId="2" fillId="0" borderId="1" xfId="4" applyFont="1" applyFill="1" applyBorder="1" applyAlignment="1">
      <alignment horizontal="center"/>
    </xf>
    <xf numFmtId="172" fontId="2" fillId="0" borderId="0" xfId="4" applyNumberFormat="1" applyFont="1" applyProtection="1">
      <protection locked="0"/>
    </xf>
    <xf numFmtId="0" fontId="2" fillId="0" borderId="0" xfId="4" applyFont="1" applyAlignment="1" applyProtection="1">
      <alignment horizontal="center"/>
    </xf>
    <xf numFmtId="7" fontId="2" fillId="0" borderId="0" xfId="4" applyNumberFormat="1" applyFont="1" applyFill="1" applyAlignment="1" applyProtection="1">
      <alignment horizontal="left"/>
    </xf>
    <xf numFmtId="37" fontId="2" fillId="0" borderId="0" xfId="4" applyNumberFormat="1" applyFont="1"/>
    <xf numFmtId="37" fontId="2" fillId="0" borderId="0" xfId="4" applyNumberFormat="1" applyFont="1" applyProtection="1"/>
    <xf numFmtId="167" fontId="2" fillId="0" borderId="0" xfId="4" applyNumberFormat="1" applyFont="1" applyProtection="1"/>
    <xf numFmtId="170" fontId="2" fillId="0" borderId="0" xfId="2" applyNumberFormat="1" applyFont="1"/>
    <xf numFmtId="165" fontId="2" fillId="0" borderId="0" xfId="1" applyNumberFormat="1" applyFont="1" applyProtection="1"/>
    <xf numFmtId="5" fontId="2" fillId="0" borderId="0" xfId="2" applyNumberFormat="1" applyFont="1"/>
    <xf numFmtId="5" fontId="2" fillId="0" borderId="0" xfId="4" applyNumberFormat="1" applyFont="1" applyBorder="1" applyProtection="1"/>
    <xf numFmtId="167" fontId="2" fillId="0" borderId="0" xfId="2" applyNumberFormat="1" applyFont="1" applyAlignment="1" applyProtection="1">
      <alignment horizontal="right"/>
    </xf>
    <xf numFmtId="5" fontId="2" fillId="0" borderId="0" xfId="2" applyNumberFormat="1" applyFont="1" applyProtection="1"/>
    <xf numFmtId="5" fontId="2" fillId="0" borderId="0" xfId="2" applyFont="1" applyProtection="1"/>
    <xf numFmtId="5" fontId="2" fillId="0" borderId="0" xfId="4" applyNumberFormat="1" applyFont="1"/>
    <xf numFmtId="167" fontId="2" fillId="0" borderId="0" xfId="4" applyNumberFormat="1" applyFont="1" applyFill="1" applyProtection="1"/>
    <xf numFmtId="5" fontId="2" fillId="0" borderId="0" xfId="4" applyNumberFormat="1" applyFont="1" applyFill="1" applyProtection="1"/>
    <xf numFmtId="7" fontId="2" fillId="0" borderId="0" xfId="4" applyNumberFormat="1" applyFont="1"/>
    <xf numFmtId="5" fontId="2" fillId="0" borderId="0" xfId="2" applyFont="1"/>
    <xf numFmtId="167" fontId="2" fillId="0" borderId="0" xfId="4" applyNumberFormat="1" applyFont="1" applyBorder="1" applyAlignment="1" applyProtection="1">
      <alignment horizontal="right"/>
    </xf>
    <xf numFmtId="5" fontId="2" fillId="0" borderId="0" xfId="4" applyNumberFormat="1" applyFont="1" applyBorder="1" applyAlignment="1" applyProtection="1">
      <alignment horizontal="right"/>
    </xf>
    <xf numFmtId="6" fontId="2" fillId="0" borderId="0" xfId="3" applyNumberFormat="1" applyFont="1" applyProtection="1">
      <protection locked="0"/>
    </xf>
    <xf numFmtId="37" fontId="2" fillId="0" borderId="0" xfId="4" applyNumberFormat="1" applyFont="1" applyBorder="1" applyProtection="1"/>
    <xf numFmtId="169" fontId="2" fillId="0" borderId="0" xfId="1" applyNumberFormat="1" applyFont="1" applyProtection="1"/>
    <xf numFmtId="38" fontId="2" fillId="0" borderId="0" xfId="4" applyNumberFormat="1" applyFont="1"/>
    <xf numFmtId="37" fontId="2" fillId="0" borderId="0" xfId="1" applyNumberFormat="1" applyFont="1" applyProtection="1"/>
    <xf numFmtId="3" fontId="2" fillId="0" borderId="0" xfId="1" applyNumberFormat="1" applyFont="1"/>
    <xf numFmtId="37" fontId="2" fillId="0" borderId="0" xfId="2" applyNumberFormat="1" applyFont="1"/>
    <xf numFmtId="169" fontId="2" fillId="0" borderId="0" xfId="1" applyNumberFormat="1" applyFont="1" applyAlignment="1" applyProtection="1">
      <alignment horizontal="right"/>
    </xf>
    <xf numFmtId="37" fontId="2" fillId="0" borderId="0" xfId="1" applyFont="1" applyProtection="1"/>
    <xf numFmtId="38" fontId="2" fillId="0" borderId="0" xfId="4" applyNumberFormat="1" applyFont="1" applyBorder="1"/>
    <xf numFmtId="38" fontId="2" fillId="0" borderId="0" xfId="4" applyNumberFormat="1" applyFont="1" applyBorder="1" applyProtection="1"/>
    <xf numFmtId="37" fontId="2" fillId="0" borderId="0" xfId="1" applyNumberFormat="1" applyFont="1" applyAlignment="1" applyProtection="1"/>
    <xf numFmtId="169" fontId="2" fillId="0" borderId="0" xfId="1" applyNumberFormat="1" applyFont="1" applyFill="1" applyProtection="1"/>
    <xf numFmtId="37" fontId="2" fillId="0" borderId="0" xfId="4" applyNumberFormat="1" applyFont="1" applyFill="1" applyBorder="1" applyProtection="1"/>
    <xf numFmtId="37" fontId="2" fillId="0" borderId="0" xfId="1" applyFont="1" applyFill="1" applyProtection="1"/>
    <xf numFmtId="37" fontId="2" fillId="0" borderId="0" xfId="1" applyFont="1"/>
    <xf numFmtId="169" fontId="2" fillId="0" borderId="0" xfId="1" applyNumberFormat="1" applyFont="1" applyBorder="1" applyAlignment="1" applyProtection="1">
      <alignment horizontal="right"/>
    </xf>
    <xf numFmtId="37" fontId="2" fillId="0" borderId="0" xfId="4" applyNumberFormat="1" applyFont="1" applyFill="1" applyProtection="1"/>
    <xf numFmtId="37" fontId="2" fillId="0" borderId="0" xfId="1" applyNumberFormat="1" applyFont="1" applyBorder="1" applyAlignment="1" applyProtection="1">
      <alignment horizontal="right"/>
    </xf>
    <xf numFmtId="0" fontId="2" fillId="0" borderId="0" xfId="4" quotePrefix="1" applyFont="1"/>
    <xf numFmtId="10" fontId="2" fillId="0" borderId="0" xfId="4" applyNumberFormat="1" applyFont="1"/>
    <xf numFmtId="7" fontId="2" fillId="0" borderId="0" xfId="4" applyNumberFormat="1" applyFont="1" applyProtection="1">
      <protection locked="0"/>
    </xf>
    <xf numFmtId="168" fontId="2" fillId="0" borderId="0" xfId="4" applyNumberFormat="1" applyFont="1" applyProtection="1">
      <protection locked="0"/>
    </xf>
    <xf numFmtId="37" fontId="2" fillId="0" borderId="0" xfId="4" applyNumberFormat="1" applyFont="1" applyFill="1" applyProtection="1">
      <protection locked="0"/>
    </xf>
    <xf numFmtId="37" fontId="2" fillId="0" borderId="0" xfId="1" applyFont="1" applyBorder="1" applyProtection="1"/>
    <xf numFmtId="37" fontId="2" fillId="0" borderId="0" xfId="1" applyNumberFormat="1" applyFont="1" applyBorder="1" applyProtection="1"/>
    <xf numFmtId="165" fontId="2" fillId="0" borderId="0" xfId="4" applyNumberFormat="1" applyFont="1" applyFill="1" applyProtection="1">
      <protection locked="0"/>
    </xf>
    <xf numFmtId="37" fontId="2" fillId="0" borderId="1" xfId="4" applyNumberFormat="1" applyFont="1" applyBorder="1" applyProtection="1"/>
    <xf numFmtId="169" fontId="2" fillId="0" borderId="0" xfId="1" applyNumberFormat="1" applyFont="1" applyBorder="1" applyProtection="1"/>
    <xf numFmtId="3" fontId="2" fillId="0" borderId="0" xfId="1" applyNumberFormat="1" applyFont="1" applyBorder="1"/>
    <xf numFmtId="165" fontId="2" fillId="0" borderId="0" xfId="1" applyNumberFormat="1" applyFont="1" applyBorder="1" applyProtection="1"/>
    <xf numFmtId="37" fontId="2" fillId="0" borderId="0" xfId="2" applyNumberFormat="1" applyFont="1" applyBorder="1"/>
    <xf numFmtId="37" fontId="2" fillId="0" borderId="1" xfId="1" applyNumberFormat="1" applyFont="1" applyBorder="1" applyProtection="1"/>
    <xf numFmtId="37" fontId="2" fillId="0" borderId="1" xfId="1" applyFont="1" applyBorder="1" applyProtection="1"/>
    <xf numFmtId="37" fontId="2" fillId="0" borderId="0" xfId="4" applyNumberFormat="1" applyFont="1" applyBorder="1"/>
    <xf numFmtId="38" fontId="2" fillId="0" borderId="1" xfId="4" applyNumberFormat="1" applyFont="1" applyBorder="1" applyProtection="1"/>
    <xf numFmtId="37" fontId="2" fillId="0" borderId="1" xfId="1" applyNumberFormat="1" applyFont="1" applyBorder="1" applyAlignment="1" applyProtection="1"/>
    <xf numFmtId="169" fontId="2" fillId="0" borderId="0" xfId="1" applyNumberFormat="1" applyFont="1" applyFill="1" applyBorder="1" applyProtection="1"/>
    <xf numFmtId="37" fontId="2" fillId="0" borderId="1" xfId="1" applyFont="1" applyFill="1" applyBorder="1" applyProtection="1"/>
    <xf numFmtId="37" fontId="2" fillId="0" borderId="1" xfId="1" applyFont="1" applyBorder="1"/>
    <xf numFmtId="37" fontId="2" fillId="0" borderId="1" xfId="4" applyNumberFormat="1" applyFont="1" applyFill="1" applyBorder="1" applyProtection="1"/>
    <xf numFmtId="4" fontId="2" fillId="0" borderId="0" xfId="4" applyNumberFormat="1" applyFont="1" applyBorder="1" applyProtection="1">
      <protection locked="0"/>
    </xf>
    <xf numFmtId="2" fontId="2" fillId="0" borderId="0" xfId="4" applyNumberFormat="1" applyFont="1" applyProtection="1"/>
    <xf numFmtId="0" fontId="2" fillId="0" borderId="0" xfId="4" applyFont="1" applyBorder="1" applyAlignment="1" applyProtection="1">
      <alignment horizontal="right"/>
    </xf>
    <xf numFmtId="37" fontId="2" fillId="0" borderId="0" xfId="4" applyNumberFormat="1" applyFont="1" applyAlignment="1" applyProtection="1">
      <alignment horizontal="left"/>
    </xf>
    <xf numFmtId="0" fontId="2" fillId="0" borderId="0" xfId="4" applyFont="1" applyFill="1" applyAlignment="1" applyProtection="1">
      <alignment horizontal="left"/>
    </xf>
    <xf numFmtId="171" fontId="2" fillId="0" borderId="0" xfId="2" applyNumberFormat="1" applyFont="1" applyFill="1" applyProtection="1">
      <protection locked="0"/>
    </xf>
    <xf numFmtId="167" fontId="2" fillId="0" borderId="0" xfId="2" applyNumberFormat="1" applyFont="1" applyFill="1" applyProtection="1">
      <protection locked="0"/>
    </xf>
    <xf numFmtId="5" fontId="2" fillId="0" borderId="0" xfId="1" applyNumberFormat="1" applyFont="1" applyProtection="1"/>
    <xf numFmtId="0" fontId="2" fillId="0" borderId="0" xfId="4" applyFont="1" applyAlignment="1">
      <alignment horizontal="left"/>
    </xf>
    <xf numFmtId="37" fontId="2" fillId="0" borderId="0" xfId="4" applyNumberFormat="1" applyFont="1" applyFill="1"/>
    <xf numFmtId="6" fontId="2" fillId="0" borderId="0" xfId="3" applyNumberFormat="1" applyFont="1" applyBorder="1" applyProtection="1"/>
    <xf numFmtId="0" fontId="2" fillId="0" borderId="0" xfId="0" quotePrefix="1" applyFont="1" applyFill="1" applyAlignment="1" applyProtection="1">
      <alignment horizontal="left"/>
    </xf>
    <xf numFmtId="168" fontId="2" fillId="0" borderId="0" xfId="0" applyNumberFormat="1" applyFont="1" applyFill="1" applyProtection="1">
      <protection locked="0"/>
    </xf>
    <xf numFmtId="39" fontId="2" fillId="0" borderId="0" xfId="4" applyNumberFormat="1" applyFont="1" applyProtection="1"/>
    <xf numFmtId="40" fontId="2" fillId="0" borderId="0" xfId="4" applyNumberFormat="1" applyFont="1" applyBorder="1" applyProtection="1"/>
    <xf numFmtId="40" fontId="2" fillId="0" borderId="2" xfId="4" applyNumberFormat="1" applyFont="1" applyBorder="1" applyProtection="1"/>
    <xf numFmtId="0" fontId="2" fillId="0" borderId="0" xfId="4" applyFont="1" applyFill="1" applyBorder="1" applyAlignment="1" applyProtection="1">
      <alignment horizontal="left"/>
    </xf>
    <xf numFmtId="0" fontId="2" fillId="0" borderId="0" xfId="0" applyFont="1" applyFill="1" applyBorder="1"/>
    <xf numFmtId="166" fontId="2" fillId="0" borderId="0" xfId="4" applyNumberFormat="1" applyFont="1" applyProtection="1"/>
    <xf numFmtId="0" fontId="2" fillId="0" borderId="12" xfId="4" applyFont="1" applyBorder="1" applyAlignment="1" applyProtection="1">
      <alignment horizontal="left"/>
    </xf>
    <xf numFmtId="5" fontId="2" fillId="0" borderId="13" xfId="4" applyNumberFormat="1" applyFont="1" applyBorder="1" applyProtection="1"/>
    <xf numFmtId="40" fontId="2" fillId="0" borderId="14" xfId="4" applyNumberFormat="1" applyFont="1" applyBorder="1" applyProtection="1"/>
    <xf numFmtId="0" fontId="2" fillId="0" borderId="0" xfId="4" applyFont="1" applyFill="1" applyBorder="1" applyAlignment="1">
      <alignment horizontal="centerContinuous"/>
    </xf>
    <xf numFmtId="0" fontId="2" fillId="0" borderId="3" xfId="4" applyFont="1" applyBorder="1" applyAlignment="1" applyProtection="1">
      <alignment horizontal="left"/>
    </xf>
    <xf numFmtId="40" fontId="2" fillId="0" borderId="4" xfId="4" applyNumberFormat="1" applyFont="1" applyBorder="1" applyProtection="1"/>
    <xf numFmtId="0" fontId="2" fillId="3" borderId="8" xfId="4" applyFont="1" applyFill="1" applyBorder="1" applyAlignment="1">
      <alignment horizontal="centerContinuous"/>
    </xf>
    <xf numFmtId="0" fontId="2" fillId="3" borderId="9" xfId="4" applyFont="1" applyFill="1" applyBorder="1" applyAlignment="1">
      <alignment horizontal="centerContinuous"/>
    </xf>
    <xf numFmtId="0" fontId="2" fillId="0" borderId="3" xfId="4" applyFont="1" applyBorder="1" applyProtection="1"/>
    <xf numFmtId="0" fontId="2" fillId="0" borderId="12" xfId="4" applyFont="1" applyBorder="1"/>
    <xf numFmtId="0" fontId="2" fillId="0" borderId="13" xfId="4" applyFont="1" applyBorder="1"/>
    <xf numFmtId="0" fontId="2" fillId="0" borderId="13" xfId="4" applyFont="1" applyBorder="1" applyAlignment="1">
      <alignment horizontal="right"/>
    </xf>
    <xf numFmtId="0" fontId="2" fillId="0" borderId="14" xfId="4" applyFont="1" applyBorder="1"/>
    <xf numFmtId="0" fontId="2" fillId="0" borderId="12" xfId="4" applyFont="1" applyBorder="1" applyAlignment="1">
      <alignment horizontal="right"/>
    </xf>
    <xf numFmtId="0" fontId="2" fillId="0" borderId="0" xfId="4" applyFont="1" applyBorder="1" applyAlignment="1">
      <alignment horizontal="right"/>
    </xf>
    <xf numFmtId="0" fontId="2" fillId="0" borderId="12" xfId="4" applyFont="1" applyBorder="1" applyAlignment="1">
      <alignment horizontal="center"/>
    </xf>
    <xf numFmtId="0" fontId="2" fillId="0" borderId="0" xfId="4" applyFont="1" applyAlignment="1" applyProtection="1">
      <alignment horizontal="center"/>
      <protection locked="0"/>
    </xf>
    <xf numFmtId="0" fontId="2" fillId="0" borderId="3" xfId="4" applyFont="1" applyBorder="1"/>
    <xf numFmtId="0" fontId="2" fillId="0" borderId="4" xfId="4" applyFont="1" applyBorder="1"/>
    <xf numFmtId="0" fontId="2" fillId="0" borderId="0" xfId="4" quotePrefix="1" applyFont="1" applyBorder="1"/>
    <xf numFmtId="0" fontId="2" fillId="0" borderId="3" xfId="4" applyFont="1" applyBorder="1" applyAlignment="1">
      <alignment horizontal="right"/>
    </xf>
    <xf numFmtId="0" fontId="2" fillId="0" borderId="3" xfId="4" applyFont="1" applyBorder="1" applyAlignment="1">
      <alignment horizontal="center"/>
    </xf>
    <xf numFmtId="5" fontId="2" fillId="0" borderId="1" xfId="4" applyNumberFormat="1" applyFont="1" applyBorder="1"/>
    <xf numFmtId="40" fontId="2" fillId="0" borderId="6" xfId="4" applyNumberFormat="1" applyFont="1" applyBorder="1"/>
    <xf numFmtId="0" fontId="2" fillId="0" borderId="4" xfId="4" quotePrefix="1" applyFont="1" applyBorder="1"/>
    <xf numFmtId="0" fontId="2" fillId="0" borderId="1" xfId="4" quotePrefix="1" applyFont="1" applyBorder="1" applyAlignment="1" applyProtection="1">
      <alignment horizontal="left"/>
    </xf>
    <xf numFmtId="0" fontId="2" fillId="0" borderId="6" xfId="4" applyFont="1" applyBorder="1"/>
    <xf numFmtId="0" fontId="2" fillId="0" borderId="5" xfId="4" applyFont="1" applyBorder="1" applyAlignment="1">
      <alignment horizontal="right"/>
    </xf>
    <xf numFmtId="0" fontId="2" fillId="0" borderId="1" xfId="4" quotePrefix="1" applyFont="1" applyBorder="1" applyAlignment="1">
      <alignment horizontal="left"/>
    </xf>
    <xf numFmtId="0" fontId="2" fillId="0" borderId="1" xfId="4" applyFont="1" applyBorder="1" applyAlignment="1">
      <alignment horizontal="right"/>
    </xf>
    <xf numFmtId="0" fontId="2" fillId="0" borderId="5" xfId="4" applyFont="1" applyBorder="1" applyAlignment="1">
      <alignment horizontal="left"/>
    </xf>
    <xf numFmtId="0" fontId="2" fillId="0" borderId="1" xfId="4" quotePrefix="1" applyFont="1" applyBorder="1"/>
    <xf numFmtId="0" fontId="2" fillId="0" borderId="0" xfId="4" applyFont="1" applyBorder="1" applyAlignment="1" applyProtection="1">
      <alignment horizontal="left"/>
    </xf>
    <xf numFmtId="10" fontId="2" fillId="0" borderId="0" xfId="4" applyNumberFormat="1" applyFont="1" applyBorder="1" applyProtection="1">
      <protection locked="0"/>
    </xf>
    <xf numFmtId="0" fontId="2" fillId="0" borderId="5" xfId="4" applyFont="1" applyFill="1" applyBorder="1" applyAlignment="1">
      <alignment horizontal="center"/>
    </xf>
    <xf numFmtId="0" fontId="2" fillId="0" borderId="1" xfId="4" quotePrefix="1" applyFont="1" applyFill="1" applyBorder="1"/>
    <xf numFmtId="0" fontId="2" fillId="0" borderId="1" xfId="4" applyFont="1" applyFill="1" applyBorder="1"/>
    <xf numFmtId="0" fontId="2" fillId="0" borderId="6" xfId="4" applyFont="1" applyFill="1" applyBorder="1"/>
    <xf numFmtId="0" fontId="2" fillId="0" borderId="0" xfId="4" applyFont="1" applyFill="1" applyBorder="1" applyAlignment="1">
      <alignment horizontal="center"/>
    </xf>
    <xf numFmtId="7" fontId="2" fillId="0" borderId="0" xfId="4" applyNumberFormat="1" applyFont="1" applyBorder="1" applyProtection="1"/>
    <xf numFmtId="0" fontId="2" fillId="0" borderId="0" xfId="4" applyFont="1" applyBorder="1" applyAlignment="1">
      <alignment horizontal="left"/>
    </xf>
    <xf numFmtId="7" fontId="2" fillId="0" borderId="0" xfId="4" applyNumberFormat="1" applyFont="1" applyProtection="1"/>
    <xf numFmtId="3" fontId="2" fillId="0" borderId="0" xfId="4" applyNumberFormat="1" applyFont="1" applyAlignment="1" applyProtection="1"/>
    <xf numFmtId="7" fontId="2" fillId="0" borderId="0" xfId="4" applyNumberFormat="1" applyFont="1" applyAlignment="1" applyProtection="1"/>
    <xf numFmtId="0" fontId="2" fillId="0" borderId="0" xfId="4" applyFont="1" applyBorder="1" applyProtection="1"/>
    <xf numFmtId="164" fontId="2" fillId="0" borderId="0" xfId="4" applyNumberFormat="1" applyFont="1" applyProtection="1"/>
    <xf numFmtId="2" fontId="2" fillId="0" borderId="10" xfId="0" applyNumberFormat="1" applyFont="1" applyFill="1" applyBorder="1" applyAlignment="1"/>
    <xf numFmtId="4" fontId="2" fillId="0" borderId="10" xfId="0" applyNumberFormat="1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2" fontId="2" fillId="0" borderId="15" xfId="0" applyNumberFormat="1" applyFont="1" applyFill="1" applyBorder="1" applyAlignment="1"/>
    <xf numFmtId="4" fontId="2" fillId="0" borderId="15" xfId="0" applyNumberFormat="1" applyFont="1" applyFill="1" applyBorder="1" applyAlignment="1"/>
    <xf numFmtId="0" fontId="2" fillId="0" borderId="0" xfId="0" applyFont="1" applyFill="1" applyAlignment="1">
      <alignment horizontal="centerContinuous"/>
    </xf>
    <xf numFmtId="0" fontId="2" fillId="0" borderId="1" xfId="6" applyFont="1" applyFill="1" applyBorder="1" applyAlignment="1">
      <alignment horizontal="centerContinuous"/>
    </xf>
    <xf numFmtId="176" fontId="0" fillId="0" borderId="0" xfId="1" applyNumberFormat="1" applyFont="1" applyFill="1"/>
    <xf numFmtId="0" fontId="4" fillId="0" borderId="1" xfId="9" applyFont="1" applyFill="1" applyBorder="1" applyAlignment="1">
      <alignment horizontal="centerContinuous"/>
    </xf>
    <xf numFmtId="0" fontId="2" fillId="0" borderId="1" xfId="9" applyFont="1" applyFill="1" applyBorder="1" applyAlignment="1">
      <alignment horizontal="centerContinuous"/>
    </xf>
    <xf numFmtId="38" fontId="4" fillId="0" borderId="0" xfId="9" applyNumberFormat="1" applyFont="1" applyFill="1" applyBorder="1"/>
    <xf numFmtId="38" fontId="2" fillId="0" borderId="1" xfId="9" applyNumberFormat="1" applyFont="1" applyFill="1" applyBorder="1" applyAlignment="1"/>
    <xf numFmtId="38" fontId="2" fillId="0" borderId="11" xfId="9" applyNumberFormat="1" applyFont="1" applyFill="1" applyBorder="1" applyAlignment="1"/>
    <xf numFmtId="0" fontId="4" fillId="0" borderId="0" xfId="22" applyFont="1" applyAlignment="1">
      <alignment horizontal="centerContinuous"/>
    </xf>
    <xf numFmtId="0" fontId="2" fillId="0" borderId="0" xfId="22"/>
    <xf numFmtId="0" fontId="2" fillId="0" borderId="8" xfId="22" applyBorder="1" applyAlignment="1">
      <alignment horizontal="center"/>
    </xf>
    <xf numFmtId="0" fontId="2" fillId="0" borderId="0" xfId="22" applyAlignment="1">
      <alignment horizontal="center"/>
    </xf>
    <xf numFmtId="0" fontId="2" fillId="0" borderId="0" xfId="22" applyFont="1"/>
    <xf numFmtId="0" fontId="2" fillId="0" borderId="0" xfId="22" applyAlignment="1">
      <alignment horizontal="left" indent="1"/>
    </xf>
    <xf numFmtId="0" fontId="2" fillId="0" borderId="0" xfId="22" applyBorder="1"/>
    <xf numFmtId="0" fontId="2" fillId="0" borderId="0" xfId="22" quotePrefix="1" applyFont="1"/>
    <xf numFmtId="177" fontId="13" fillId="0" borderId="0" xfId="33" applyFont="1" applyFill="1"/>
    <xf numFmtId="177" fontId="2" fillId="0" borderId="0" xfId="33" applyFont="1" applyFill="1"/>
    <xf numFmtId="178" fontId="2" fillId="0" borderId="0" xfId="33" applyNumberFormat="1" applyFont="1" applyFill="1"/>
    <xf numFmtId="8" fontId="2" fillId="0" borderId="0" xfId="33" applyNumberFormat="1" applyFont="1" applyFill="1"/>
    <xf numFmtId="177" fontId="2" fillId="0" borderId="0" xfId="33" quotePrefix="1" applyFont="1" applyFill="1"/>
    <xf numFmtId="38" fontId="2" fillId="0" borderId="0" xfId="33" applyNumberFormat="1" applyFont="1" applyFill="1"/>
    <xf numFmtId="179" fontId="2" fillId="0" borderId="0" xfId="33" applyNumberFormat="1" applyFont="1" applyFill="1"/>
    <xf numFmtId="39" fontId="2" fillId="0" borderId="0" xfId="1" applyNumberFormat="1" applyFont="1" applyFill="1"/>
    <xf numFmtId="177" fontId="16" fillId="0" borderId="0" xfId="33" applyFont="1" applyFill="1"/>
    <xf numFmtId="8" fontId="2" fillId="0" borderId="11" xfId="33" applyNumberFormat="1" applyFont="1" applyFill="1" applyBorder="1"/>
    <xf numFmtId="8" fontId="2" fillId="0" borderId="0" xfId="33" applyNumberFormat="1" applyFont="1" applyFill="1" applyBorder="1"/>
    <xf numFmtId="180" fontId="2" fillId="0" borderId="0" xfId="33" applyNumberFormat="1" applyFont="1" applyFill="1" applyBorder="1"/>
    <xf numFmtId="177" fontId="13" fillId="0" borderId="0" xfId="33" applyFont="1"/>
    <xf numFmtId="178" fontId="2" fillId="0" borderId="0" xfId="33" applyNumberFormat="1" applyFont="1"/>
    <xf numFmtId="177" fontId="2" fillId="0" borderId="0" xfId="33" applyFont="1"/>
    <xf numFmtId="8" fontId="2" fillId="0" borderId="0" xfId="33" applyNumberFormat="1" applyFont="1"/>
    <xf numFmtId="177" fontId="2" fillId="0" borderId="0" xfId="33" quotePrefix="1" applyFont="1"/>
    <xf numFmtId="181" fontId="2" fillId="0" borderId="0" xfId="1" applyNumberFormat="1" applyFont="1"/>
    <xf numFmtId="39" fontId="2" fillId="0" borderId="0" xfId="1" applyNumberFormat="1" applyFont="1"/>
    <xf numFmtId="177" fontId="16" fillId="0" borderId="0" xfId="33" applyFont="1"/>
    <xf numFmtId="8" fontId="2" fillId="0" borderId="11" xfId="33" applyNumberFormat="1" applyFont="1" applyBorder="1"/>
    <xf numFmtId="8" fontId="2" fillId="0" borderId="0" xfId="33" applyNumberFormat="1" applyFont="1" applyBorder="1"/>
    <xf numFmtId="0" fontId="2" fillId="0" borderId="1" xfId="22" applyBorder="1"/>
    <xf numFmtId="0" fontId="13" fillId="0" borderId="0" xfId="22" applyFont="1"/>
    <xf numFmtId="0" fontId="2" fillId="0" borderId="0" xfId="0" quotePrefix="1" applyFont="1" applyFill="1" applyAlignment="1"/>
    <xf numFmtId="5" fontId="2" fillId="0" borderId="0" xfId="4" applyNumberFormat="1" applyFont="1" applyBorder="1" applyProtection="1">
      <protection locked="0"/>
    </xf>
    <xf numFmtId="37" fontId="5" fillId="0" borderId="0" xfId="4" applyNumberFormat="1" applyFont="1" applyBorder="1" applyProtection="1">
      <protection locked="0"/>
    </xf>
    <xf numFmtId="37" fontId="2" fillId="0" borderId="0" xfId="4" applyNumberFormat="1" applyFont="1" applyBorder="1" applyProtection="1">
      <protection locked="0"/>
    </xf>
    <xf numFmtId="0" fontId="2" fillId="0" borderId="0" xfId="22" applyFill="1"/>
    <xf numFmtId="5" fontId="2" fillId="0" borderId="0" xfId="22" applyNumberFormat="1" applyFill="1"/>
    <xf numFmtId="37" fontId="2" fillId="0" borderId="1" xfId="22" applyNumberFormat="1" applyFill="1" applyBorder="1"/>
    <xf numFmtId="7" fontId="2" fillId="0" borderId="0" xfId="22" applyNumberFormat="1" applyFill="1"/>
    <xf numFmtId="167" fontId="2" fillId="0" borderId="0" xfId="22" applyNumberFormat="1" applyFill="1"/>
    <xf numFmtId="169" fontId="2" fillId="0" borderId="1" xfId="22" applyNumberFormat="1" applyFill="1" applyBorder="1"/>
    <xf numFmtId="169" fontId="2" fillId="0" borderId="0" xfId="22" applyNumberFormat="1" applyFill="1" applyBorder="1"/>
    <xf numFmtId="5" fontId="0" fillId="0" borderId="0" xfId="2" applyFont="1" applyFill="1"/>
    <xf numFmtId="174" fontId="2" fillId="0" borderId="10" xfId="5" applyNumberFormat="1" applyFont="1" applyFill="1" applyBorder="1" applyAlignment="1">
      <alignment wrapText="1"/>
    </xf>
    <xf numFmtId="7" fontId="2" fillId="0" borderId="10" xfId="5" applyNumberFormat="1" applyFont="1" applyFill="1" applyBorder="1" applyAlignment="1">
      <alignment wrapText="1"/>
    </xf>
    <xf numFmtId="0" fontId="13" fillId="0" borderId="0" xfId="9" applyFont="1" applyFill="1" applyAlignment="1"/>
    <xf numFmtId="0" fontId="2" fillId="0" borderId="0" xfId="9" applyFont="1" applyFill="1" applyAlignment="1">
      <alignment horizontal="left"/>
    </xf>
    <xf numFmtId="0" fontId="2" fillId="0" borderId="0" xfId="9" applyFont="1" applyFill="1" applyBorder="1" applyAlignment="1">
      <alignment horizontal="left"/>
    </xf>
    <xf numFmtId="165" fontId="0" fillId="0" borderId="0" xfId="1" applyNumberFormat="1" applyFont="1" applyFill="1"/>
    <xf numFmtId="5" fontId="5" fillId="0" borderId="1" xfId="4" applyNumberFormat="1" applyFont="1" applyBorder="1" applyProtection="1"/>
    <xf numFmtId="0" fontId="2" fillId="0" borderId="1" xfId="22" applyBorder="1" applyAlignment="1">
      <alignment horizontal="center"/>
    </xf>
  </cellXfs>
  <cellStyles count="35">
    <cellStyle name="Comma" xfId="1" builtinId="3"/>
    <cellStyle name="Comma 2" xfId="16"/>
    <cellStyle name="Comma 2 2" xfId="29"/>
    <cellStyle name="Comma 2 3" xfId="19"/>
    <cellStyle name="Comma 3" xfId="24"/>
    <cellStyle name="Comma 4" xfId="26"/>
    <cellStyle name="Comma 5" xfId="21"/>
    <cellStyle name="Currency" xfId="2" builtinId="4"/>
    <cellStyle name="Currency 2" xfId="10"/>
    <cellStyle name="Currency 2 2" xfId="30"/>
    <cellStyle name="Currency 2 3" xfId="20"/>
    <cellStyle name="Currency 3" xfId="14"/>
    <cellStyle name="Currency 3 2" xfId="23"/>
    <cellStyle name="Currency 4" xfId="25"/>
    <cellStyle name="Currency_Bencost 09 with Modification" xfId="3"/>
    <cellStyle name="Data Field" xfId="7"/>
    <cellStyle name="Data Name" xfId="8"/>
    <cellStyle name="Normal" xfId="0" builtinId="0"/>
    <cellStyle name="Normal 2" xfId="6"/>
    <cellStyle name="Normal 2 2" xfId="22"/>
    <cellStyle name="Normal 3" xfId="9"/>
    <cellStyle name="Normal 3 2" xfId="31"/>
    <cellStyle name="Normal 3 3" xfId="32"/>
    <cellStyle name="Normal 3 4" xfId="27"/>
    <cellStyle name="Normal 4" xfId="11"/>
    <cellStyle name="Normal 4 2" xfId="18"/>
    <cellStyle name="Normal 4 3" xfId="28"/>
    <cellStyle name="Normal 5" xfId="13"/>
    <cellStyle name="Normal 5 2" xfId="34"/>
    <cellStyle name="Normal_Bencost 09 with Modification" xfId="4"/>
    <cellStyle name="Normal_Input Source Data Table 2007" xfId="5"/>
    <cellStyle name="Normal_RATECOMP" xfId="33"/>
    <cellStyle name="Percent" xfId="17" builtinId="5"/>
    <cellStyle name="Percent 2" xfId="12"/>
    <cellStyle name="Percent 3" xfId="15"/>
  </cellStyles>
  <dxfs count="0"/>
  <tableStyles count="0" defaultTableStyle="TableStyleMedium9" defaultPivotStyle="PivotStyleLight16"/>
  <colors>
    <mruColors>
      <color rgb="FFFFFF99"/>
      <color rgb="FFEEF0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V8KJ0GF1\2015%20SD%20CTA%20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detail 2015"/>
      <sheetName val="CTA Rate"/>
      <sheetName val="Summary by Mth 2015"/>
      <sheetName val="Expense by progam"/>
      <sheetName val="2015 Incentive Calc"/>
      <sheetName val="2016 Budget Incentive"/>
      <sheetName val="Tariff Schedule Change Form"/>
      <sheetName val="Expense Month 2015"/>
      <sheetName val="2015 Budget"/>
      <sheetName val="2016 Budget"/>
      <sheetName val="2015 Actual Alloc"/>
      <sheetName val="Projected Dk"/>
      <sheetName val="Sav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K21">
            <v>7923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Normal="100" workbookViewId="0">
      <selection activeCell="W19" sqref="W19"/>
    </sheetView>
  </sheetViews>
  <sheetFormatPr defaultRowHeight="13.2"/>
  <cols>
    <col min="1" max="1" width="28.6640625" style="278" customWidth="1"/>
    <col min="2" max="2" width="0.6640625" style="278" customWidth="1"/>
    <col min="3" max="3" width="10.88671875" style="210" bestFit="1" customWidth="1"/>
    <col min="4" max="4" width="0.6640625" style="210" customWidth="1"/>
    <col min="5" max="5" width="9.109375" style="210" bestFit="1" customWidth="1"/>
    <col min="6" max="6" width="1" style="210" customWidth="1"/>
    <col min="7" max="7" width="9.5546875" style="210" customWidth="1"/>
    <col min="8" max="8" width="1.109375" style="278" customWidth="1"/>
    <col min="9" max="9" width="8.109375" style="278" bestFit="1" customWidth="1"/>
    <col min="10" max="10" width="1.109375" style="278" customWidth="1"/>
    <col min="11" max="11" width="10.109375" style="278" customWidth="1"/>
    <col min="12" max="243" width="9.109375" style="278"/>
    <col min="244" max="244" width="32.109375" style="278" customWidth="1"/>
    <col min="245" max="245" width="2.33203125" style="278" customWidth="1"/>
    <col min="246" max="246" width="11.6640625" style="278" bestFit="1" customWidth="1"/>
    <col min="247" max="247" width="2.33203125" style="278" customWidth="1"/>
    <col min="248" max="248" width="11.33203125" style="278" bestFit="1" customWidth="1"/>
    <col min="249" max="249" width="2.33203125" style="278" customWidth="1"/>
    <col min="250" max="250" width="11.109375" style="278" bestFit="1" customWidth="1"/>
    <col min="251" max="251" width="2.33203125" style="278" customWidth="1"/>
    <col min="252" max="252" width="10.6640625" style="278" bestFit="1" customWidth="1"/>
    <col min="253" max="253" width="2.33203125" style="278" customWidth="1"/>
    <col min="254" max="254" width="9.109375" style="278"/>
    <col min="255" max="255" width="2.33203125" style="278" customWidth="1"/>
    <col min="256" max="256" width="9.109375" style="278"/>
    <col min="257" max="257" width="2.6640625" style="278" customWidth="1"/>
    <col min="258" max="499" width="9.109375" style="278"/>
    <col min="500" max="500" width="32.109375" style="278" customWidth="1"/>
    <col min="501" max="501" width="2.33203125" style="278" customWidth="1"/>
    <col min="502" max="502" width="11.6640625" style="278" bestFit="1" customWidth="1"/>
    <col min="503" max="503" width="2.33203125" style="278" customWidth="1"/>
    <col min="504" max="504" width="11.33203125" style="278" bestFit="1" customWidth="1"/>
    <col min="505" max="505" width="2.33203125" style="278" customWidth="1"/>
    <col min="506" max="506" width="11.109375" style="278" bestFit="1" customWidth="1"/>
    <col min="507" max="507" width="2.33203125" style="278" customWidth="1"/>
    <col min="508" max="508" width="10.6640625" style="278" bestFit="1" customWidth="1"/>
    <col min="509" max="509" width="2.33203125" style="278" customWidth="1"/>
    <col min="510" max="510" width="9.109375" style="278"/>
    <col min="511" max="511" width="2.33203125" style="278" customWidth="1"/>
    <col min="512" max="512" width="9.109375" style="278"/>
    <col min="513" max="513" width="2.6640625" style="278" customWidth="1"/>
    <col min="514" max="755" width="9.109375" style="278"/>
    <col min="756" max="756" width="32.109375" style="278" customWidth="1"/>
    <col min="757" max="757" width="2.33203125" style="278" customWidth="1"/>
    <col min="758" max="758" width="11.6640625" style="278" bestFit="1" customWidth="1"/>
    <col min="759" max="759" width="2.33203125" style="278" customWidth="1"/>
    <col min="760" max="760" width="11.33203125" style="278" bestFit="1" customWidth="1"/>
    <col min="761" max="761" width="2.33203125" style="278" customWidth="1"/>
    <col min="762" max="762" width="11.109375" style="278" bestFit="1" customWidth="1"/>
    <col min="763" max="763" width="2.33203125" style="278" customWidth="1"/>
    <col min="764" max="764" width="10.6640625" style="278" bestFit="1" customWidth="1"/>
    <col min="765" max="765" width="2.33203125" style="278" customWidth="1"/>
    <col min="766" max="766" width="9.109375" style="278"/>
    <col min="767" max="767" width="2.33203125" style="278" customWidth="1"/>
    <col min="768" max="768" width="9.109375" style="278"/>
    <col min="769" max="769" width="2.6640625" style="278" customWidth="1"/>
    <col min="770" max="1011" width="9.109375" style="278"/>
    <col min="1012" max="1012" width="32.109375" style="278" customWidth="1"/>
    <col min="1013" max="1013" width="2.33203125" style="278" customWidth="1"/>
    <col min="1014" max="1014" width="11.6640625" style="278" bestFit="1" customWidth="1"/>
    <col min="1015" max="1015" width="2.33203125" style="278" customWidth="1"/>
    <col min="1016" max="1016" width="11.33203125" style="278" bestFit="1" customWidth="1"/>
    <col min="1017" max="1017" width="2.33203125" style="278" customWidth="1"/>
    <col min="1018" max="1018" width="11.109375" style="278" bestFit="1" customWidth="1"/>
    <col min="1019" max="1019" width="2.33203125" style="278" customWidth="1"/>
    <col min="1020" max="1020" width="10.6640625" style="278" bestFit="1" customWidth="1"/>
    <col min="1021" max="1021" width="2.33203125" style="278" customWidth="1"/>
    <col min="1022" max="1022" width="9.109375" style="278"/>
    <col min="1023" max="1023" width="2.33203125" style="278" customWidth="1"/>
    <col min="1024" max="1024" width="9.109375" style="278"/>
    <col min="1025" max="1025" width="2.6640625" style="278" customWidth="1"/>
    <col min="1026" max="1267" width="9.109375" style="278"/>
    <col min="1268" max="1268" width="32.109375" style="278" customWidth="1"/>
    <col min="1269" max="1269" width="2.33203125" style="278" customWidth="1"/>
    <col min="1270" max="1270" width="11.6640625" style="278" bestFit="1" customWidth="1"/>
    <col min="1271" max="1271" width="2.33203125" style="278" customWidth="1"/>
    <col min="1272" max="1272" width="11.33203125" style="278" bestFit="1" customWidth="1"/>
    <col min="1273" max="1273" width="2.33203125" style="278" customWidth="1"/>
    <col min="1274" max="1274" width="11.109375" style="278" bestFit="1" customWidth="1"/>
    <col min="1275" max="1275" width="2.33203125" style="278" customWidth="1"/>
    <col min="1276" max="1276" width="10.6640625" style="278" bestFit="1" customWidth="1"/>
    <col min="1277" max="1277" width="2.33203125" style="278" customWidth="1"/>
    <col min="1278" max="1278" width="9.109375" style="278"/>
    <col min="1279" max="1279" width="2.33203125" style="278" customWidth="1"/>
    <col min="1280" max="1280" width="9.109375" style="278"/>
    <col min="1281" max="1281" width="2.6640625" style="278" customWidth="1"/>
    <col min="1282" max="1523" width="9.109375" style="278"/>
    <col min="1524" max="1524" width="32.109375" style="278" customWidth="1"/>
    <col min="1525" max="1525" width="2.33203125" style="278" customWidth="1"/>
    <col min="1526" max="1526" width="11.6640625" style="278" bestFit="1" customWidth="1"/>
    <col min="1527" max="1527" width="2.33203125" style="278" customWidth="1"/>
    <col min="1528" max="1528" width="11.33203125" style="278" bestFit="1" customWidth="1"/>
    <col min="1529" max="1529" width="2.33203125" style="278" customWidth="1"/>
    <col min="1530" max="1530" width="11.109375" style="278" bestFit="1" customWidth="1"/>
    <col min="1531" max="1531" width="2.33203125" style="278" customWidth="1"/>
    <col min="1532" max="1532" width="10.6640625" style="278" bestFit="1" customWidth="1"/>
    <col min="1533" max="1533" width="2.33203125" style="278" customWidth="1"/>
    <col min="1534" max="1534" width="9.109375" style="278"/>
    <col min="1535" max="1535" width="2.33203125" style="278" customWidth="1"/>
    <col min="1536" max="1536" width="9.109375" style="278"/>
    <col min="1537" max="1537" width="2.6640625" style="278" customWidth="1"/>
    <col min="1538" max="1779" width="9.109375" style="278"/>
    <col min="1780" max="1780" width="32.109375" style="278" customWidth="1"/>
    <col min="1781" max="1781" width="2.33203125" style="278" customWidth="1"/>
    <col min="1782" max="1782" width="11.6640625" style="278" bestFit="1" customWidth="1"/>
    <col min="1783" max="1783" width="2.33203125" style="278" customWidth="1"/>
    <col min="1784" max="1784" width="11.33203125" style="278" bestFit="1" customWidth="1"/>
    <col min="1785" max="1785" width="2.33203125" style="278" customWidth="1"/>
    <col min="1786" max="1786" width="11.109375" style="278" bestFit="1" customWidth="1"/>
    <col min="1787" max="1787" width="2.33203125" style="278" customWidth="1"/>
    <col min="1788" max="1788" width="10.6640625" style="278" bestFit="1" customWidth="1"/>
    <col min="1789" max="1789" width="2.33203125" style="278" customWidth="1"/>
    <col min="1790" max="1790" width="9.109375" style="278"/>
    <col min="1791" max="1791" width="2.33203125" style="278" customWidth="1"/>
    <col min="1792" max="1792" width="9.109375" style="278"/>
    <col min="1793" max="1793" width="2.6640625" style="278" customWidth="1"/>
    <col min="1794" max="2035" width="9.109375" style="278"/>
    <col min="2036" max="2036" width="32.109375" style="278" customWidth="1"/>
    <col min="2037" max="2037" width="2.33203125" style="278" customWidth="1"/>
    <col min="2038" max="2038" width="11.6640625" style="278" bestFit="1" customWidth="1"/>
    <col min="2039" max="2039" width="2.33203125" style="278" customWidth="1"/>
    <col min="2040" max="2040" width="11.33203125" style="278" bestFit="1" customWidth="1"/>
    <col min="2041" max="2041" width="2.33203125" style="278" customWidth="1"/>
    <col min="2042" max="2042" width="11.109375" style="278" bestFit="1" customWidth="1"/>
    <col min="2043" max="2043" width="2.33203125" style="278" customWidth="1"/>
    <col min="2044" max="2044" width="10.6640625" style="278" bestFit="1" customWidth="1"/>
    <col min="2045" max="2045" width="2.33203125" style="278" customWidth="1"/>
    <col min="2046" max="2046" width="9.109375" style="278"/>
    <col min="2047" max="2047" width="2.33203125" style="278" customWidth="1"/>
    <col min="2048" max="2048" width="9.109375" style="278"/>
    <col min="2049" max="2049" width="2.6640625" style="278" customWidth="1"/>
    <col min="2050" max="2291" width="9.109375" style="278"/>
    <col min="2292" max="2292" width="32.109375" style="278" customWidth="1"/>
    <col min="2293" max="2293" width="2.33203125" style="278" customWidth="1"/>
    <col min="2294" max="2294" width="11.6640625" style="278" bestFit="1" customWidth="1"/>
    <col min="2295" max="2295" width="2.33203125" style="278" customWidth="1"/>
    <col min="2296" max="2296" width="11.33203125" style="278" bestFit="1" customWidth="1"/>
    <col min="2297" max="2297" width="2.33203125" style="278" customWidth="1"/>
    <col min="2298" max="2298" width="11.109375" style="278" bestFit="1" customWidth="1"/>
    <col min="2299" max="2299" width="2.33203125" style="278" customWidth="1"/>
    <col min="2300" max="2300" width="10.6640625" style="278" bestFit="1" customWidth="1"/>
    <col min="2301" max="2301" width="2.33203125" style="278" customWidth="1"/>
    <col min="2302" max="2302" width="9.109375" style="278"/>
    <col min="2303" max="2303" width="2.33203125" style="278" customWidth="1"/>
    <col min="2304" max="2304" width="9.109375" style="278"/>
    <col min="2305" max="2305" width="2.6640625" style="278" customWidth="1"/>
    <col min="2306" max="2547" width="9.109375" style="278"/>
    <col min="2548" max="2548" width="32.109375" style="278" customWidth="1"/>
    <col min="2549" max="2549" width="2.33203125" style="278" customWidth="1"/>
    <col min="2550" max="2550" width="11.6640625" style="278" bestFit="1" customWidth="1"/>
    <col min="2551" max="2551" width="2.33203125" style="278" customWidth="1"/>
    <col min="2552" max="2552" width="11.33203125" style="278" bestFit="1" customWidth="1"/>
    <col min="2553" max="2553" width="2.33203125" style="278" customWidth="1"/>
    <col min="2554" max="2554" width="11.109375" style="278" bestFit="1" customWidth="1"/>
    <col min="2555" max="2555" width="2.33203125" style="278" customWidth="1"/>
    <col min="2556" max="2556" width="10.6640625" style="278" bestFit="1" customWidth="1"/>
    <col min="2557" max="2557" width="2.33203125" style="278" customWidth="1"/>
    <col min="2558" max="2558" width="9.109375" style="278"/>
    <col min="2559" max="2559" width="2.33203125" style="278" customWidth="1"/>
    <col min="2560" max="2560" width="9.109375" style="278"/>
    <col min="2561" max="2561" width="2.6640625" style="278" customWidth="1"/>
    <col min="2562" max="2803" width="9.109375" style="278"/>
    <col min="2804" max="2804" width="32.109375" style="278" customWidth="1"/>
    <col min="2805" max="2805" width="2.33203125" style="278" customWidth="1"/>
    <col min="2806" max="2806" width="11.6640625" style="278" bestFit="1" customWidth="1"/>
    <col min="2807" max="2807" width="2.33203125" style="278" customWidth="1"/>
    <col min="2808" max="2808" width="11.33203125" style="278" bestFit="1" customWidth="1"/>
    <col min="2809" max="2809" width="2.33203125" style="278" customWidth="1"/>
    <col min="2810" max="2810" width="11.109375" style="278" bestFit="1" customWidth="1"/>
    <col min="2811" max="2811" width="2.33203125" style="278" customWidth="1"/>
    <col min="2812" max="2812" width="10.6640625" style="278" bestFit="1" customWidth="1"/>
    <col min="2813" max="2813" width="2.33203125" style="278" customWidth="1"/>
    <col min="2814" max="2814" width="9.109375" style="278"/>
    <col min="2815" max="2815" width="2.33203125" style="278" customWidth="1"/>
    <col min="2816" max="2816" width="9.109375" style="278"/>
    <col min="2817" max="2817" width="2.6640625" style="278" customWidth="1"/>
    <col min="2818" max="3059" width="9.109375" style="278"/>
    <col min="3060" max="3060" width="32.109375" style="278" customWidth="1"/>
    <col min="3061" max="3061" width="2.33203125" style="278" customWidth="1"/>
    <col min="3062" max="3062" width="11.6640625" style="278" bestFit="1" customWidth="1"/>
    <col min="3063" max="3063" width="2.33203125" style="278" customWidth="1"/>
    <col min="3064" max="3064" width="11.33203125" style="278" bestFit="1" customWidth="1"/>
    <col min="3065" max="3065" width="2.33203125" style="278" customWidth="1"/>
    <col min="3066" max="3066" width="11.109375" style="278" bestFit="1" customWidth="1"/>
    <col min="3067" max="3067" width="2.33203125" style="278" customWidth="1"/>
    <col min="3068" max="3068" width="10.6640625" style="278" bestFit="1" customWidth="1"/>
    <col min="3069" max="3069" width="2.33203125" style="278" customWidth="1"/>
    <col min="3070" max="3070" width="9.109375" style="278"/>
    <col min="3071" max="3071" width="2.33203125" style="278" customWidth="1"/>
    <col min="3072" max="3072" width="9.109375" style="278"/>
    <col min="3073" max="3073" width="2.6640625" style="278" customWidth="1"/>
    <col min="3074" max="3315" width="9.109375" style="278"/>
    <col min="3316" max="3316" width="32.109375" style="278" customWidth="1"/>
    <col min="3317" max="3317" width="2.33203125" style="278" customWidth="1"/>
    <col min="3318" max="3318" width="11.6640625" style="278" bestFit="1" customWidth="1"/>
    <col min="3319" max="3319" width="2.33203125" style="278" customWidth="1"/>
    <col min="3320" max="3320" width="11.33203125" style="278" bestFit="1" customWidth="1"/>
    <col min="3321" max="3321" width="2.33203125" style="278" customWidth="1"/>
    <col min="3322" max="3322" width="11.109375" style="278" bestFit="1" customWidth="1"/>
    <col min="3323" max="3323" width="2.33203125" style="278" customWidth="1"/>
    <col min="3324" max="3324" width="10.6640625" style="278" bestFit="1" customWidth="1"/>
    <col min="3325" max="3325" width="2.33203125" style="278" customWidth="1"/>
    <col min="3326" max="3326" width="9.109375" style="278"/>
    <col min="3327" max="3327" width="2.33203125" style="278" customWidth="1"/>
    <col min="3328" max="3328" width="9.109375" style="278"/>
    <col min="3329" max="3329" width="2.6640625" style="278" customWidth="1"/>
    <col min="3330" max="3571" width="9.109375" style="278"/>
    <col min="3572" max="3572" width="32.109375" style="278" customWidth="1"/>
    <col min="3573" max="3573" width="2.33203125" style="278" customWidth="1"/>
    <col min="3574" max="3574" width="11.6640625" style="278" bestFit="1" customWidth="1"/>
    <col min="3575" max="3575" width="2.33203125" style="278" customWidth="1"/>
    <col min="3576" max="3576" width="11.33203125" style="278" bestFit="1" customWidth="1"/>
    <col min="3577" max="3577" width="2.33203125" style="278" customWidth="1"/>
    <col min="3578" max="3578" width="11.109375" style="278" bestFit="1" customWidth="1"/>
    <col min="3579" max="3579" width="2.33203125" style="278" customWidth="1"/>
    <col min="3580" max="3580" width="10.6640625" style="278" bestFit="1" customWidth="1"/>
    <col min="3581" max="3581" width="2.33203125" style="278" customWidth="1"/>
    <col min="3582" max="3582" width="9.109375" style="278"/>
    <col min="3583" max="3583" width="2.33203125" style="278" customWidth="1"/>
    <col min="3584" max="3584" width="9.109375" style="278"/>
    <col min="3585" max="3585" width="2.6640625" style="278" customWidth="1"/>
    <col min="3586" max="3827" width="9.109375" style="278"/>
    <col min="3828" max="3828" width="32.109375" style="278" customWidth="1"/>
    <col min="3829" max="3829" width="2.33203125" style="278" customWidth="1"/>
    <col min="3830" max="3830" width="11.6640625" style="278" bestFit="1" customWidth="1"/>
    <col min="3831" max="3831" width="2.33203125" style="278" customWidth="1"/>
    <col min="3832" max="3832" width="11.33203125" style="278" bestFit="1" customWidth="1"/>
    <col min="3833" max="3833" width="2.33203125" style="278" customWidth="1"/>
    <col min="3834" max="3834" width="11.109375" style="278" bestFit="1" customWidth="1"/>
    <col min="3835" max="3835" width="2.33203125" style="278" customWidth="1"/>
    <col min="3836" max="3836" width="10.6640625" style="278" bestFit="1" customWidth="1"/>
    <col min="3837" max="3837" width="2.33203125" style="278" customWidth="1"/>
    <col min="3838" max="3838" width="9.109375" style="278"/>
    <col min="3839" max="3839" width="2.33203125" style="278" customWidth="1"/>
    <col min="3840" max="3840" width="9.109375" style="278"/>
    <col min="3841" max="3841" width="2.6640625" style="278" customWidth="1"/>
    <col min="3842" max="4083" width="9.109375" style="278"/>
    <col min="4084" max="4084" width="32.109375" style="278" customWidth="1"/>
    <col min="4085" max="4085" width="2.33203125" style="278" customWidth="1"/>
    <col min="4086" max="4086" width="11.6640625" style="278" bestFit="1" customWidth="1"/>
    <col min="4087" max="4087" width="2.33203125" style="278" customWidth="1"/>
    <col min="4088" max="4088" width="11.33203125" style="278" bestFit="1" customWidth="1"/>
    <col min="4089" max="4089" width="2.33203125" style="278" customWidth="1"/>
    <col min="4090" max="4090" width="11.109375" style="278" bestFit="1" customWidth="1"/>
    <col min="4091" max="4091" width="2.33203125" style="278" customWidth="1"/>
    <col min="4092" max="4092" width="10.6640625" style="278" bestFit="1" customWidth="1"/>
    <col min="4093" max="4093" width="2.33203125" style="278" customWidth="1"/>
    <col min="4094" max="4094" width="9.109375" style="278"/>
    <col min="4095" max="4095" width="2.33203125" style="278" customWidth="1"/>
    <col min="4096" max="4096" width="9.109375" style="278"/>
    <col min="4097" max="4097" width="2.6640625" style="278" customWidth="1"/>
    <col min="4098" max="4339" width="9.109375" style="278"/>
    <col min="4340" max="4340" width="32.109375" style="278" customWidth="1"/>
    <col min="4341" max="4341" width="2.33203125" style="278" customWidth="1"/>
    <col min="4342" max="4342" width="11.6640625" style="278" bestFit="1" customWidth="1"/>
    <col min="4343" max="4343" width="2.33203125" style="278" customWidth="1"/>
    <col min="4344" max="4344" width="11.33203125" style="278" bestFit="1" customWidth="1"/>
    <col min="4345" max="4345" width="2.33203125" style="278" customWidth="1"/>
    <col min="4346" max="4346" width="11.109375" style="278" bestFit="1" customWidth="1"/>
    <col min="4347" max="4347" width="2.33203125" style="278" customWidth="1"/>
    <col min="4348" max="4348" width="10.6640625" style="278" bestFit="1" customWidth="1"/>
    <col min="4349" max="4349" width="2.33203125" style="278" customWidth="1"/>
    <col min="4350" max="4350" width="9.109375" style="278"/>
    <col min="4351" max="4351" width="2.33203125" style="278" customWidth="1"/>
    <col min="4352" max="4352" width="9.109375" style="278"/>
    <col min="4353" max="4353" width="2.6640625" style="278" customWidth="1"/>
    <col min="4354" max="4595" width="9.109375" style="278"/>
    <col min="4596" max="4596" width="32.109375" style="278" customWidth="1"/>
    <col min="4597" max="4597" width="2.33203125" style="278" customWidth="1"/>
    <col min="4598" max="4598" width="11.6640625" style="278" bestFit="1" customWidth="1"/>
    <col min="4599" max="4599" width="2.33203125" style="278" customWidth="1"/>
    <col min="4600" max="4600" width="11.33203125" style="278" bestFit="1" customWidth="1"/>
    <col min="4601" max="4601" width="2.33203125" style="278" customWidth="1"/>
    <col min="4602" max="4602" width="11.109375" style="278" bestFit="1" customWidth="1"/>
    <col min="4603" max="4603" width="2.33203125" style="278" customWidth="1"/>
    <col min="4604" max="4604" width="10.6640625" style="278" bestFit="1" customWidth="1"/>
    <col min="4605" max="4605" width="2.33203125" style="278" customWidth="1"/>
    <col min="4606" max="4606" width="9.109375" style="278"/>
    <col min="4607" max="4607" width="2.33203125" style="278" customWidth="1"/>
    <col min="4608" max="4608" width="9.109375" style="278"/>
    <col min="4609" max="4609" width="2.6640625" style="278" customWidth="1"/>
    <col min="4610" max="4851" width="9.109375" style="278"/>
    <col min="4852" max="4852" width="32.109375" style="278" customWidth="1"/>
    <col min="4853" max="4853" width="2.33203125" style="278" customWidth="1"/>
    <col min="4854" max="4854" width="11.6640625" style="278" bestFit="1" customWidth="1"/>
    <col min="4855" max="4855" width="2.33203125" style="278" customWidth="1"/>
    <col min="4856" max="4856" width="11.33203125" style="278" bestFit="1" customWidth="1"/>
    <col min="4857" max="4857" width="2.33203125" style="278" customWidth="1"/>
    <col min="4858" max="4858" width="11.109375" style="278" bestFit="1" customWidth="1"/>
    <col min="4859" max="4859" width="2.33203125" style="278" customWidth="1"/>
    <col min="4860" max="4860" width="10.6640625" style="278" bestFit="1" customWidth="1"/>
    <col min="4861" max="4861" width="2.33203125" style="278" customWidth="1"/>
    <col min="4862" max="4862" width="9.109375" style="278"/>
    <col min="4863" max="4863" width="2.33203125" style="278" customWidth="1"/>
    <col min="4864" max="4864" width="9.109375" style="278"/>
    <col min="4865" max="4865" width="2.6640625" style="278" customWidth="1"/>
    <col min="4866" max="5107" width="9.109375" style="278"/>
    <col min="5108" max="5108" width="32.109375" style="278" customWidth="1"/>
    <col min="5109" max="5109" width="2.33203125" style="278" customWidth="1"/>
    <col min="5110" max="5110" width="11.6640625" style="278" bestFit="1" customWidth="1"/>
    <col min="5111" max="5111" width="2.33203125" style="278" customWidth="1"/>
    <col min="5112" max="5112" width="11.33203125" style="278" bestFit="1" customWidth="1"/>
    <col min="5113" max="5113" width="2.33203125" style="278" customWidth="1"/>
    <col min="5114" max="5114" width="11.109375" style="278" bestFit="1" customWidth="1"/>
    <col min="5115" max="5115" width="2.33203125" style="278" customWidth="1"/>
    <col min="5116" max="5116" width="10.6640625" style="278" bestFit="1" customWidth="1"/>
    <col min="5117" max="5117" width="2.33203125" style="278" customWidth="1"/>
    <col min="5118" max="5118" width="9.109375" style="278"/>
    <col min="5119" max="5119" width="2.33203125" style="278" customWidth="1"/>
    <col min="5120" max="5120" width="9.109375" style="278"/>
    <col min="5121" max="5121" width="2.6640625" style="278" customWidth="1"/>
    <col min="5122" max="5363" width="9.109375" style="278"/>
    <col min="5364" max="5364" width="32.109375" style="278" customWidth="1"/>
    <col min="5365" max="5365" width="2.33203125" style="278" customWidth="1"/>
    <col min="5366" max="5366" width="11.6640625" style="278" bestFit="1" customWidth="1"/>
    <col min="5367" max="5367" width="2.33203125" style="278" customWidth="1"/>
    <col min="5368" max="5368" width="11.33203125" style="278" bestFit="1" customWidth="1"/>
    <col min="5369" max="5369" width="2.33203125" style="278" customWidth="1"/>
    <col min="5370" max="5370" width="11.109375" style="278" bestFit="1" customWidth="1"/>
    <col min="5371" max="5371" width="2.33203125" style="278" customWidth="1"/>
    <col min="5372" max="5372" width="10.6640625" style="278" bestFit="1" customWidth="1"/>
    <col min="5373" max="5373" width="2.33203125" style="278" customWidth="1"/>
    <col min="5374" max="5374" width="9.109375" style="278"/>
    <col min="5375" max="5375" width="2.33203125" style="278" customWidth="1"/>
    <col min="5376" max="5376" width="9.109375" style="278"/>
    <col min="5377" max="5377" width="2.6640625" style="278" customWidth="1"/>
    <col min="5378" max="5619" width="9.109375" style="278"/>
    <col min="5620" max="5620" width="32.109375" style="278" customWidth="1"/>
    <col min="5621" max="5621" width="2.33203125" style="278" customWidth="1"/>
    <col min="5622" max="5622" width="11.6640625" style="278" bestFit="1" customWidth="1"/>
    <col min="5623" max="5623" width="2.33203125" style="278" customWidth="1"/>
    <col min="5624" max="5624" width="11.33203125" style="278" bestFit="1" customWidth="1"/>
    <col min="5625" max="5625" width="2.33203125" style="278" customWidth="1"/>
    <col min="5626" max="5626" width="11.109375" style="278" bestFit="1" customWidth="1"/>
    <col min="5627" max="5627" width="2.33203125" style="278" customWidth="1"/>
    <col min="5628" max="5628" width="10.6640625" style="278" bestFit="1" customWidth="1"/>
    <col min="5629" max="5629" width="2.33203125" style="278" customWidth="1"/>
    <col min="5630" max="5630" width="9.109375" style="278"/>
    <col min="5631" max="5631" width="2.33203125" style="278" customWidth="1"/>
    <col min="5632" max="5632" width="9.109375" style="278"/>
    <col min="5633" max="5633" width="2.6640625" style="278" customWidth="1"/>
    <col min="5634" max="5875" width="9.109375" style="278"/>
    <col min="5876" max="5876" width="32.109375" style="278" customWidth="1"/>
    <col min="5877" max="5877" width="2.33203125" style="278" customWidth="1"/>
    <col min="5878" max="5878" width="11.6640625" style="278" bestFit="1" customWidth="1"/>
    <col min="5879" max="5879" width="2.33203125" style="278" customWidth="1"/>
    <col min="5880" max="5880" width="11.33203125" style="278" bestFit="1" customWidth="1"/>
    <col min="5881" max="5881" width="2.33203125" style="278" customWidth="1"/>
    <col min="5882" max="5882" width="11.109375" style="278" bestFit="1" customWidth="1"/>
    <col min="5883" max="5883" width="2.33203125" style="278" customWidth="1"/>
    <col min="5884" max="5884" width="10.6640625" style="278" bestFit="1" customWidth="1"/>
    <col min="5885" max="5885" width="2.33203125" style="278" customWidth="1"/>
    <col min="5886" max="5886" width="9.109375" style="278"/>
    <col min="5887" max="5887" width="2.33203125" style="278" customWidth="1"/>
    <col min="5888" max="5888" width="9.109375" style="278"/>
    <col min="5889" max="5889" width="2.6640625" style="278" customWidth="1"/>
    <col min="5890" max="6131" width="9.109375" style="278"/>
    <col min="6132" max="6132" width="32.109375" style="278" customWidth="1"/>
    <col min="6133" max="6133" width="2.33203125" style="278" customWidth="1"/>
    <col min="6134" max="6134" width="11.6640625" style="278" bestFit="1" customWidth="1"/>
    <col min="6135" max="6135" width="2.33203125" style="278" customWidth="1"/>
    <col min="6136" max="6136" width="11.33203125" style="278" bestFit="1" customWidth="1"/>
    <col min="6137" max="6137" width="2.33203125" style="278" customWidth="1"/>
    <col min="6138" max="6138" width="11.109375" style="278" bestFit="1" customWidth="1"/>
    <col min="6139" max="6139" width="2.33203125" style="278" customWidth="1"/>
    <col min="6140" max="6140" width="10.6640625" style="278" bestFit="1" customWidth="1"/>
    <col min="6141" max="6141" width="2.33203125" style="278" customWidth="1"/>
    <col min="6142" max="6142" width="9.109375" style="278"/>
    <col min="6143" max="6143" width="2.33203125" style="278" customWidth="1"/>
    <col min="6144" max="6144" width="9.109375" style="278"/>
    <col min="6145" max="6145" width="2.6640625" style="278" customWidth="1"/>
    <col min="6146" max="6387" width="9.109375" style="278"/>
    <col min="6388" max="6388" width="32.109375" style="278" customWidth="1"/>
    <col min="6389" max="6389" width="2.33203125" style="278" customWidth="1"/>
    <col min="6390" max="6390" width="11.6640625" style="278" bestFit="1" customWidth="1"/>
    <col min="6391" max="6391" width="2.33203125" style="278" customWidth="1"/>
    <col min="6392" max="6392" width="11.33203125" style="278" bestFit="1" customWidth="1"/>
    <col min="6393" max="6393" width="2.33203125" style="278" customWidth="1"/>
    <col min="6394" max="6394" width="11.109375" style="278" bestFit="1" customWidth="1"/>
    <col min="6395" max="6395" width="2.33203125" style="278" customWidth="1"/>
    <col min="6396" max="6396" width="10.6640625" style="278" bestFit="1" customWidth="1"/>
    <col min="6397" max="6397" width="2.33203125" style="278" customWidth="1"/>
    <col min="6398" max="6398" width="9.109375" style="278"/>
    <col min="6399" max="6399" width="2.33203125" style="278" customWidth="1"/>
    <col min="6400" max="6400" width="9.109375" style="278"/>
    <col min="6401" max="6401" width="2.6640625" style="278" customWidth="1"/>
    <col min="6402" max="6643" width="9.109375" style="278"/>
    <col min="6644" max="6644" width="32.109375" style="278" customWidth="1"/>
    <col min="6645" max="6645" width="2.33203125" style="278" customWidth="1"/>
    <col min="6646" max="6646" width="11.6640625" style="278" bestFit="1" customWidth="1"/>
    <col min="6647" max="6647" width="2.33203125" style="278" customWidth="1"/>
    <col min="6648" max="6648" width="11.33203125" style="278" bestFit="1" customWidth="1"/>
    <col min="6649" max="6649" width="2.33203125" style="278" customWidth="1"/>
    <col min="6650" max="6650" width="11.109375" style="278" bestFit="1" customWidth="1"/>
    <col min="6651" max="6651" width="2.33203125" style="278" customWidth="1"/>
    <col min="6652" max="6652" width="10.6640625" style="278" bestFit="1" customWidth="1"/>
    <col min="6653" max="6653" width="2.33203125" style="278" customWidth="1"/>
    <col min="6654" max="6654" width="9.109375" style="278"/>
    <col min="6655" max="6655" width="2.33203125" style="278" customWidth="1"/>
    <col min="6656" max="6656" width="9.109375" style="278"/>
    <col min="6657" max="6657" width="2.6640625" style="278" customWidth="1"/>
    <col min="6658" max="6899" width="9.109375" style="278"/>
    <col min="6900" max="6900" width="32.109375" style="278" customWidth="1"/>
    <col min="6901" max="6901" width="2.33203125" style="278" customWidth="1"/>
    <col min="6902" max="6902" width="11.6640625" style="278" bestFit="1" customWidth="1"/>
    <col min="6903" max="6903" width="2.33203125" style="278" customWidth="1"/>
    <col min="6904" max="6904" width="11.33203125" style="278" bestFit="1" customWidth="1"/>
    <col min="6905" max="6905" width="2.33203125" style="278" customWidth="1"/>
    <col min="6906" max="6906" width="11.109375" style="278" bestFit="1" customWidth="1"/>
    <col min="6907" max="6907" width="2.33203125" style="278" customWidth="1"/>
    <col min="6908" max="6908" width="10.6640625" style="278" bestFit="1" customWidth="1"/>
    <col min="6909" max="6909" width="2.33203125" style="278" customWidth="1"/>
    <col min="6910" max="6910" width="9.109375" style="278"/>
    <col min="6911" max="6911" width="2.33203125" style="278" customWidth="1"/>
    <col min="6912" max="6912" width="9.109375" style="278"/>
    <col min="6913" max="6913" width="2.6640625" style="278" customWidth="1"/>
    <col min="6914" max="7155" width="9.109375" style="278"/>
    <col min="7156" max="7156" width="32.109375" style="278" customWidth="1"/>
    <col min="7157" max="7157" width="2.33203125" style="278" customWidth="1"/>
    <col min="7158" max="7158" width="11.6640625" style="278" bestFit="1" customWidth="1"/>
    <col min="7159" max="7159" width="2.33203125" style="278" customWidth="1"/>
    <col min="7160" max="7160" width="11.33203125" style="278" bestFit="1" customWidth="1"/>
    <col min="7161" max="7161" width="2.33203125" style="278" customWidth="1"/>
    <col min="7162" max="7162" width="11.109375" style="278" bestFit="1" customWidth="1"/>
    <col min="7163" max="7163" width="2.33203125" style="278" customWidth="1"/>
    <col min="7164" max="7164" width="10.6640625" style="278" bestFit="1" customWidth="1"/>
    <col min="7165" max="7165" width="2.33203125" style="278" customWidth="1"/>
    <col min="7166" max="7166" width="9.109375" style="278"/>
    <col min="7167" max="7167" width="2.33203125" style="278" customWidth="1"/>
    <col min="7168" max="7168" width="9.109375" style="278"/>
    <col min="7169" max="7169" width="2.6640625" style="278" customWidth="1"/>
    <col min="7170" max="7411" width="9.109375" style="278"/>
    <col min="7412" max="7412" width="32.109375" style="278" customWidth="1"/>
    <col min="7413" max="7413" width="2.33203125" style="278" customWidth="1"/>
    <col min="7414" max="7414" width="11.6640625" style="278" bestFit="1" customWidth="1"/>
    <col min="7415" max="7415" width="2.33203125" style="278" customWidth="1"/>
    <col min="7416" max="7416" width="11.33203125" style="278" bestFit="1" customWidth="1"/>
    <col min="7417" max="7417" width="2.33203125" style="278" customWidth="1"/>
    <col min="7418" max="7418" width="11.109375" style="278" bestFit="1" customWidth="1"/>
    <col min="7419" max="7419" width="2.33203125" style="278" customWidth="1"/>
    <col min="7420" max="7420" width="10.6640625" style="278" bestFit="1" customWidth="1"/>
    <col min="7421" max="7421" width="2.33203125" style="278" customWidth="1"/>
    <col min="7422" max="7422" width="9.109375" style="278"/>
    <col min="7423" max="7423" width="2.33203125" style="278" customWidth="1"/>
    <col min="7424" max="7424" width="9.109375" style="278"/>
    <col min="7425" max="7425" width="2.6640625" style="278" customWidth="1"/>
    <col min="7426" max="7667" width="9.109375" style="278"/>
    <col min="7668" max="7668" width="32.109375" style="278" customWidth="1"/>
    <col min="7669" max="7669" width="2.33203125" style="278" customWidth="1"/>
    <col min="7670" max="7670" width="11.6640625" style="278" bestFit="1" customWidth="1"/>
    <col min="7671" max="7671" width="2.33203125" style="278" customWidth="1"/>
    <col min="7672" max="7672" width="11.33203125" style="278" bestFit="1" customWidth="1"/>
    <col min="7673" max="7673" width="2.33203125" style="278" customWidth="1"/>
    <col min="7674" max="7674" width="11.109375" style="278" bestFit="1" customWidth="1"/>
    <col min="7675" max="7675" width="2.33203125" style="278" customWidth="1"/>
    <col min="7676" max="7676" width="10.6640625" style="278" bestFit="1" customWidth="1"/>
    <col min="7677" max="7677" width="2.33203125" style="278" customWidth="1"/>
    <col min="7678" max="7678" width="9.109375" style="278"/>
    <col min="7679" max="7679" width="2.33203125" style="278" customWidth="1"/>
    <col min="7680" max="7680" width="9.109375" style="278"/>
    <col min="7681" max="7681" width="2.6640625" style="278" customWidth="1"/>
    <col min="7682" max="7923" width="9.109375" style="278"/>
    <col min="7924" max="7924" width="32.109375" style="278" customWidth="1"/>
    <col min="7925" max="7925" width="2.33203125" style="278" customWidth="1"/>
    <col min="7926" max="7926" width="11.6640625" style="278" bestFit="1" customWidth="1"/>
    <col min="7927" max="7927" width="2.33203125" style="278" customWidth="1"/>
    <col min="7928" max="7928" width="11.33203125" style="278" bestFit="1" customWidth="1"/>
    <col min="7929" max="7929" width="2.33203125" style="278" customWidth="1"/>
    <col min="7930" max="7930" width="11.109375" style="278" bestFit="1" customWidth="1"/>
    <col min="7931" max="7931" width="2.33203125" style="278" customWidth="1"/>
    <col min="7932" max="7932" width="10.6640625" style="278" bestFit="1" customWidth="1"/>
    <col min="7933" max="7933" width="2.33203125" style="278" customWidth="1"/>
    <col min="7934" max="7934" width="9.109375" style="278"/>
    <col min="7935" max="7935" width="2.33203125" style="278" customWidth="1"/>
    <col min="7936" max="7936" width="9.109375" style="278"/>
    <col min="7937" max="7937" width="2.6640625" style="278" customWidth="1"/>
    <col min="7938" max="8179" width="9.109375" style="278"/>
    <col min="8180" max="8180" width="32.109375" style="278" customWidth="1"/>
    <col min="8181" max="8181" width="2.33203125" style="278" customWidth="1"/>
    <col min="8182" max="8182" width="11.6640625" style="278" bestFit="1" customWidth="1"/>
    <col min="8183" max="8183" width="2.33203125" style="278" customWidth="1"/>
    <col min="8184" max="8184" width="11.33203125" style="278" bestFit="1" customWidth="1"/>
    <col min="8185" max="8185" width="2.33203125" style="278" customWidth="1"/>
    <col min="8186" max="8186" width="11.109375" style="278" bestFit="1" customWidth="1"/>
    <col min="8187" max="8187" width="2.33203125" style="278" customWidth="1"/>
    <col min="8188" max="8188" width="10.6640625" style="278" bestFit="1" customWidth="1"/>
    <col min="8189" max="8189" width="2.33203125" style="278" customWidth="1"/>
    <col min="8190" max="8190" width="9.109375" style="278"/>
    <col min="8191" max="8191" width="2.33203125" style="278" customWidth="1"/>
    <col min="8192" max="8192" width="9.109375" style="278"/>
    <col min="8193" max="8193" width="2.6640625" style="278" customWidth="1"/>
    <col min="8194" max="8435" width="9.109375" style="278"/>
    <col min="8436" max="8436" width="32.109375" style="278" customWidth="1"/>
    <col min="8437" max="8437" width="2.33203125" style="278" customWidth="1"/>
    <col min="8438" max="8438" width="11.6640625" style="278" bestFit="1" customWidth="1"/>
    <col min="8439" max="8439" width="2.33203125" style="278" customWidth="1"/>
    <col min="8440" max="8440" width="11.33203125" style="278" bestFit="1" customWidth="1"/>
    <col min="8441" max="8441" width="2.33203125" style="278" customWidth="1"/>
    <col min="8442" max="8442" width="11.109375" style="278" bestFit="1" customWidth="1"/>
    <col min="8443" max="8443" width="2.33203125" style="278" customWidth="1"/>
    <col min="8444" max="8444" width="10.6640625" style="278" bestFit="1" customWidth="1"/>
    <col min="8445" max="8445" width="2.33203125" style="278" customWidth="1"/>
    <col min="8446" max="8446" width="9.109375" style="278"/>
    <col min="8447" max="8447" width="2.33203125" style="278" customWidth="1"/>
    <col min="8448" max="8448" width="9.109375" style="278"/>
    <col min="8449" max="8449" width="2.6640625" style="278" customWidth="1"/>
    <col min="8450" max="8691" width="9.109375" style="278"/>
    <col min="8692" max="8692" width="32.109375" style="278" customWidth="1"/>
    <col min="8693" max="8693" width="2.33203125" style="278" customWidth="1"/>
    <col min="8694" max="8694" width="11.6640625" style="278" bestFit="1" customWidth="1"/>
    <col min="8695" max="8695" width="2.33203125" style="278" customWidth="1"/>
    <col min="8696" max="8696" width="11.33203125" style="278" bestFit="1" customWidth="1"/>
    <col min="8697" max="8697" width="2.33203125" style="278" customWidth="1"/>
    <col min="8698" max="8698" width="11.109375" style="278" bestFit="1" customWidth="1"/>
    <col min="8699" max="8699" width="2.33203125" style="278" customWidth="1"/>
    <col min="8700" max="8700" width="10.6640625" style="278" bestFit="1" customWidth="1"/>
    <col min="8701" max="8701" width="2.33203125" style="278" customWidth="1"/>
    <col min="8702" max="8702" width="9.109375" style="278"/>
    <col min="8703" max="8703" width="2.33203125" style="278" customWidth="1"/>
    <col min="8704" max="8704" width="9.109375" style="278"/>
    <col min="8705" max="8705" width="2.6640625" style="278" customWidth="1"/>
    <col min="8706" max="8947" width="9.109375" style="278"/>
    <col min="8948" max="8948" width="32.109375" style="278" customWidth="1"/>
    <col min="8949" max="8949" width="2.33203125" style="278" customWidth="1"/>
    <col min="8950" max="8950" width="11.6640625" style="278" bestFit="1" customWidth="1"/>
    <col min="8951" max="8951" width="2.33203125" style="278" customWidth="1"/>
    <col min="8952" max="8952" width="11.33203125" style="278" bestFit="1" customWidth="1"/>
    <col min="8953" max="8953" width="2.33203125" style="278" customWidth="1"/>
    <col min="8954" max="8954" width="11.109375" style="278" bestFit="1" customWidth="1"/>
    <col min="8955" max="8955" width="2.33203125" style="278" customWidth="1"/>
    <col min="8956" max="8956" width="10.6640625" style="278" bestFit="1" customWidth="1"/>
    <col min="8957" max="8957" width="2.33203125" style="278" customWidth="1"/>
    <col min="8958" max="8958" width="9.109375" style="278"/>
    <col min="8959" max="8959" width="2.33203125" style="278" customWidth="1"/>
    <col min="8960" max="8960" width="9.109375" style="278"/>
    <col min="8961" max="8961" width="2.6640625" style="278" customWidth="1"/>
    <col min="8962" max="9203" width="9.109375" style="278"/>
    <col min="9204" max="9204" width="32.109375" style="278" customWidth="1"/>
    <col min="9205" max="9205" width="2.33203125" style="278" customWidth="1"/>
    <col min="9206" max="9206" width="11.6640625" style="278" bestFit="1" customWidth="1"/>
    <col min="9207" max="9207" width="2.33203125" style="278" customWidth="1"/>
    <col min="9208" max="9208" width="11.33203125" style="278" bestFit="1" customWidth="1"/>
    <col min="9209" max="9209" width="2.33203125" style="278" customWidth="1"/>
    <col min="9210" max="9210" width="11.109375" style="278" bestFit="1" customWidth="1"/>
    <col min="9211" max="9211" width="2.33203125" style="278" customWidth="1"/>
    <col min="9212" max="9212" width="10.6640625" style="278" bestFit="1" customWidth="1"/>
    <col min="9213" max="9213" width="2.33203125" style="278" customWidth="1"/>
    <col min="9214" max="9214" width="9.109375" style="278"/>
    <col min="9215" max="9215" width="2.33203125" style="278" customWidth="1"/>
    <col min="9216" max="9216" width="9.109375" style="278"/>
    <col min="9217" max="9217" width="2.6640625" style="278" customWidth="1"/>
    <col min="9218" max="9459" width="9.109375" style="278"/>
    <col min="9460" max="9460" width="32.109375" style="278" customWidth="1"/>
    <col min="9461" max="9461" width="2.33203125" style="278" customWidth="1"/>
    <col min="9462" max="9462" width="11.6640625" style="278" bestFit="1" customWidth="1"/>
    <col min="9463" max="9463" width="2.33203125" style="278" customWidth="1"/>
    <col min="9464" max="9464" width="11.33203125" style="278" bestFit="1" customWidth="1"/>
    <col min="9465" max="9465" width="2.33203125" style="278" customWidth="1"/>
    <col min="9466" max="9466" width="11.109375" style="278" bestFit="1" customWidth="1"/>
    <col min="9467" max="9467" width="2.33203125" style="278" customWidth="1"/>
    <col min="9468" max="9468" width="10.6640625" style="278" bestFit="1" customWidth="1"/>
    <col min="9469" max="9469" width="2.33203125" style="278" customWidth="1"/>
    <col min="9470" max="9470" width="9.109375" style="278"/>
    <col min="9471" max="9471" width="2.33203125" style="278" customWidth="1"/>
    <col min="9472" max="9472" width="9.109375" style="278"/>
    <col min="9473" max="9473" width="2.6640625" style="278" customWidth="1"/>
    <col min="9474" max="9715" width="9.109375" style="278"/>
    <col min="9716" max="9716" width="32.109375" style="278" customWidth="1"/>
    <col min="9717" max="9717" width="2.33203125" style="278" customWidth="1"/>
    <col min="9718" max="9718" width="11.6640625" style="278" bestFit="1" customWidth="1"/>
    <col min="9719" max="9719" width="2.33203125" style="278" customWidth="1"/>
    <col min="9720" max="9720" width="11.33203125" style="278" bestFit="1" customWidth="1"/>
    <col min="9721" max="9721" width="2.33203125" style="278" customWidth="1"/>
    <col min="9722" max="9722" width="11.109375" style="278" bestFit="1" customWidth="1"/>
    <col min="9723" max="9723" width="2.33203125" style="278" customWidth="1"/>
    <col min="9724" max="9724" width="10.6640625" style="278" bestFit="1" customWidth="1"/>
    <col min="9725" max="9725" width="2.33203125" style="278" customWidth="1"/>
    <col min="9726" max="9726" width="9.109375" style="278"/>
    <col min="9727" max="9727" width="2.33203125" style="278" customWidth="1"/>
    <col min="9728" max="9728" width="9.109375" style="278"/>
    <col min="9729" max="9729" width="2.6640625" style="278" customWidth="1"/>
    <col min="9730" max="9971" width="9.109375" style="278"/>
    <col min="9972" max="9972" width="32.109375" style="278" customWidth="1"/>
    <col min="9973" max="9973" width="2.33203125" style="278" customWidth="1"/>
    <col min="9974" max="9974" width="11.6640625" style="278" bestFit="1" customWidth="1"/>
    <col min="9975" max="9975" width="2.33203125" style="278" customWidth="1"/>
    <col min="9976" max="9976" width="11.33203125" style="278" bestFit="1" customWidth="1"/>
    <col min="9977" max="9977" width="2.33203125" style="278" customWidth="1"/>
    <col min="9978" max="9978" width="11.109375" style="278" bestFit="1" customWidth="1"/>
    <col min="9979" max="9979" width="2.33203125" style="278" customWidth="1"/>
    <col min="9980" max="9980" width="10.6640625" style="278" bestFit="1" customWidth="1"/>
    <col min="9981" max="9981" width="2.33203125" style="278" customWidth="1"/>
    <col min="9982" max="9982" width="9.109375" style="278"/>
    <col min="9983" max="9983" width="2.33203125" style="278" customWidth="1"/>
    <col min="9984" max="9984" width="9.109375" style="278"/>
    <col min="9985" max="9985" width="2.6640625" style="278" customWidth="1"/>
    <col min="9986" max="10227" width="9.109375" style="278"/>
    <col min="10228" max="10228" width="32.109375" style="278" customWidth="1"/>
    <col min="10229" max="10229" width="2.33203125" style="278" customWidth="1"/>
    <col min="10230" max="10230" width="11.6640625" style="278" bestFit="1" customWidth="1"/>
    <col min="10231" max="10231" width="2.33203125" style="278" customWidth="1"/>
    <col min="10232" max="10232" width="11.33203125" style="278" bestFit="1" customWidth="1"/>
    <col min="10233" max="10233" width="2.33203125" style="278" customWidth="1"/>
    <col min="10234" max="10234" width="11.109375" style="278" bestFit="1" customWidth="1"/>
    <col min="10235" max="10235" width="2.33203125" style="278" customWidth="1"/>
    <col min="10236" max="10236" width="10.6640625" style="278" bestFit="1" customWidth="1"/>
    <col min="10237" max="10237" width="2.33203125" style="278" customWidth="1"/>
    <col min="10238" max="10238" width="9.109375" style="278"/>
    <col min="10239" max="10239" width="2.33203125" style="278" customWidth="1"/>
    <col min="10240" max="10240" width="9.109375" style="278"/>
    <col min="10241" max="10241" width="2.6640625" style="278" customWidth="1"/>
    <col min="10242" max="10483" width="9.109375" style="278"/>
    <col min="10484" max="10484" width="32.109375" style="278" customWidth="1"/>
    <col min="10485" max="10485" width="2.33203125" style="278" customWidth="1"/>
    <col min="10486" max="10486" width="11.6640625" style="278" bestFit="1" customWidth="1"/>
    <col min="10487" max="10487" width="2.33203125" style="278" customWidth="1"/>
    <col min="10488" max="10488" width="11.33203125" style="278" bestFit="1" customWidth="1"/>
    <col min="10489" max="10489" width="2.33203125" style="278" customWidth="1"/>
    <col min="10490" max="10490" width="11.109375" style="278" bestFit="1" customWidth="1"/>
    <col min="10491" max="10491" width="2.33203125" style="278" customWidth="1"/>
    <col min="10492" max="10492" width="10.6640625" style="278" bestFit="1" customWidth="1"/>
    <col min="10493" max="10493" width="2.33203125" style="278" customWidth="1"/>
    <col min="10494" max="10494" width="9.109375" style="278"/>
    <col min="10495" max="10495" width="2.33203125" style="278" customWidth="1"/>
    <col min="10496" max="10496" width="9.109375" style="278"/>
    <col min="10497" max="10497" width="2.6640625" style="278" customWidth="1"/>
    <col min="10498" max="10739" width="9.109375" style="278"/>
    <col min="10740" max="10740" width="32.109375" style="278" customWidth="1"/>
    <col min="10741" max="10741" width="2.33203125" style="278" customWidth="1"/>
    <col min="10742" max="10742" width="11.6640625" style="278" bestFit="1" customWidth="1"/>
    <col min="10743" max="10743" width="2.33203125" style="278" customWidth="1"/>
    <col min="10744" max="10744" width="11.33203125" style="278" bestFit="1" customWidth="1"/>
    <col min="10745" max="10745" width="2.33203125" style="278" customWidth="1"/>
    <col min="10746" max="10746" width="11.109375" style="278" bestFit="1" customWidth="1"/>
    <col min="10747" max="10747" width="2.33203125" style="278" customWidth="1"/>
    <col min="10748" max="10748" width="10.6640625" style="278" bestFit="1" customWidth="1"/>
    <col min="10749" max="10749" width="2.33203125" style="278" customWidth="1"/>
    <col min="10750" max="10750" width="9.109375" style="278"/>
    <col min="10751" max="10751" width="2.33203125" style="278" customWidth="1"/>
    <col min="10752" max="10752" width="9.109375" style="278"/>
    <col min="10753" max="10753" width="2.6640625" style="278" customWidth="1"/>
    <col min="10754" max="10995" width="9.109375" style="278"/>
    <col min="10996" max="10996" width="32.109375" style="278" customWidth="1"/>
    <col min="10997" max="10997" width="2.33203125" style="278" customWidth="1"/>
    <col min="10998" max="10998" width="11.6640625" style="278" bestFit="1" customWidth="1"/>
    <col min="10999" max="10999" width="2.33203125" style="278" customWidth="1"/>
    <col min="11000" max="11000" width="11.33203125" style="278" bestFit="1" customWidth="1"/>
    <col min="11001" max="11001" width="2.33203125" style="278" customWidth="1"/>
    <col min="11002" max="11002" width="11.109375" style="278" bestFit="1" customWidth="1"/>
    <col min="11003" max="11003" width="2.33203125" style="278" customWidth="1"/>
    <col min="11004" max="11004" width="10.6640625" style="278" bestFit="1" customWidth="1"/>
    <col min="11005" max="11005" width="2.33203125" style="278" customWidth="1"/>
    <col min="11006" max="11006" width="9.109375" style="278"/>
    <col min="11007" max="11007" width="2.33203125" style="278" customWidth="1"/>
    <col min="11008" max="11008" width="9.109375" style="278"/>
    <col min="11009" max="11009" width="2.6640625" style="278" customWidth="1"/>
    <col min="11010" max="11251" width="9.109375" style="278"/>
    <col min="11252" max="11252" width="32.109375" style="278" customWidth="1"/>
    <col min="11253" max="11253" width="2.33203125" style="278" customWidth="1"/>
    <col min="11254" max="11254" width="11.6640625" style="278" bestFit="1" customWidth="1"/>
    <col min="11255" max="11255" width="2.33203125" style="278" customWidth="1"/>
    <col min="11256" max="11256" width="11.33203125" style="278" bestFit="1" customWidth="1"/>
    <col min="11257" max="11257" width="2.33203125" style="278" customWidth="1"/>
    <col min="11258" max="11258" width="11.109375" style="278" bestFit="1" customWidth="1"/>
    <col min="11259" max="11259" width="2.33203125" style="278" customWidth="1"/>
    <col min="11260" max="11260" width="10.6640625" style="278" bestFit="1" customWidth="1"/>
    <col min="11261" max="11261" width="2.33203125" style="278" customWidth="1"/>
    <col min="11262" max="11262" width="9.109375" style="278"/>
    <col min="11263" max="11263" width="2.33203125" style="278" customWidth="1"/>
    <col min="11264" max="11264" width="9.109375" style="278"/>
    <col min="11265" max="11265" width="2.6640625" style="278" customWidth="1"/>
    <col min="11266" max="11507" width="9.109375" style="278"/>
    <col min="11508" max="11508" width="32.109375" style="278" customWidth="1"/>
    <col min="11509" max="11509" width="2.33203125" style="278" customWidth="1"/>
    <col min="11510" max="11510" width="11.6640625" style="278" bestFit="1" customWidth="1"/>
    <col min="11511" max="11511" width="2.33203125" style="278" customWidth="1"/>
    <col min="11512" max="11512" width="11.33203125" style="278" bestFit="1" customWidth="1"/>
    <col min="11513" max="11513" width="2.33203125" style="278" customWidth="1"/>
    <col min="11514" max="11514" width="11.109375" style="278" bestFit="1" customWidth="1"/>
    <col min="11515" max="11515" width="2.33203125" style="278" customWidth="1"/>
    <col min="11516" max="11516" width="10.6640625" style="278" bestFit="1" customWidth="1"/>
    <col min="11517" max="11517" width="2.33203125" style="278" customWidth="1"/>
    <col min="11518" max="11518" width="9.109375" style="278"/>
    <col min="11519" max="11519" width="2.33203125" style="278" customWidth="1"/>
    <col min="11520" max="11520" width="9.109375" style="278"/>
    <col min="11521" max="11521" width="2.6640625" style="278" customWidth="1"/>
    <col min="11522" max="11763" width="9.109375" style="278"/>
    <col min="11764" max="11764" width="32.109375" style="278" customWidth="1"/>
    <col min="11765" max="11765" width="2.33203125" style="278" customWidth="1"/>
    <col min="11766" max="11766" width="11.6640625" style="278" bestFit="1" customWidth="1"/>
    <col min="11767" max="11767" width="2.33203125" style="278" customWidth="1"/>
    <col min="11768" max="11768" width="11.33203125" style="278" bestFit="1" customWidth="1"/>
    <col min="11769" max="11769" width="2.33203125" style="278" customWidth="1"/>
    <col min="11770" max="11770" width="11.109375" style="278" bestFit="1" customWidth="1"/>
    <col min="11771" max="11771" width="2.33203125" style="278" customWidth="1"/>
    <col min="11772" max="11772" width="10.6640625" style="278" bestFit="1" customWidth="1"/>
    <col min="11773" max="11773" width="2.33203125" style="278" customWidth="1"/>
    <col min="11774" max="11774" width="9.109375" style="278"/>
    <col min="11775" max="11775" width="2.33203125" style="278" customWidth="1"/>
    <col min="11776" max="11776" width="9.109375" style="278"/>
    <col min="11777" max="11777" width="2.6640625" style="278" customWidth="1"/>
    <col min="11778" max="12019" width="9.109375" style="278"/>
    <col min="12020" max="12020" width="32.109375" style="278" customWidth="1"/>
    <col min="12021" max="12021" width="2.33203125" style="278" customWidth="1"/>
    <col min="12022" max="12022" width="11.6640625" style="278" bestFit="1" customWidth="1"/>
    <col min="12023" max="12023" width="2.33203125" style="278" customWidth="1"/>
    <col min="12024" max="12024" width="11.33203125" style="278" bestFit="1" customWidth="1"/>
    <col min="12025" max="12025" width="2.33203125" style="278" customWidth="1"/>
    <col min="12026" max="12026" width="11.109375" style="278" bestFit="1" customWidth="1"/>
    <col min="12027" max="12027" width="2.33203125" style="278" customWidth="1"/>
    <col min="12028" max="12028" width="10.6640625" style="278" bestFit="1" customWidth="1"/>
    <col min="12029" max="12029" width="2.33203125" style="278" customWidth="1"/>
    <col min="12030" max="12030" width="9.109375" style="278"/>
    <col min="12031" max="12031" width="2.33203125" style="278" customWidth="1"/>
    <col min="12032" max="12032" width="9.109375" style="278"/>
    <col min="12033" max="12033" width="2.6640625" style="278" customWidth="1"/>
    <col min="12034" max="12275" width="9.109375" style="278"/>
    <col min="12276" max="12276" width="32.109375" style="278" customWidth="1"/>
    <col min="12277" max="12277" width="2.33203125" style="278" customWidth="1"/>
    <col min="12278" max="12278" width="11.6640625" style="278" bestFit="1" customWidth="1"/>
    <col min="12279" max="12279" width="2.33203125" style="278" customWidth="1"/>
    <col min="12280" max="12280" width="11.33203125" style="278" bestFit="1" customWidth="1"/>
    <col min="12281" max="12281" width="2.33203125" style="278" customWidth="1"/>
    <col min="12282" max="12282" width="11.109375" style="278" bestFit="1" customWidth="1"/>
    <col min="12283" max="12283" width="2.33203125" style="278" customWidth="1"/>
    <col min="12284" max="12284" width="10.6640625" style="278" bestFit="1" customWidth="1"/>
    <col min="12285" max="12285" width="2.33203125" style="278" customWidth="1"/>
    <col min="12286" max="12286" width="9.109375" style="278"/>
    <col min="12287" max="12287" width="2.33203125" style="278" customWidth="1"/>
    <col min="12288" max="12288" width="9.109375" style="278"/>
    <col min="12289" max="12289" width="2.6640625" style="278" customWidth="1"/>
    <col min="12290" max="12531" width="9.109375" style="278"/>
    <col min="12532" max="12532" width="32.109375" style="278" customWidth="1"/>
    <col min="12533" max="12533" width="2.33203125" style="278" customWidth="1"/>
    <col min="12534" max="12534" width="11.6640625" style="278" bestFit="1" customWidth="1"/>
    <col min="12535" max="12535" width="2.33203125" style="278" customWidth="1"/>
    <col min="12536" max="12536" width="11.33203125" style="278" bestFit="1" customWidth="1"/>
    <col min="12537" max="12537" width="2.33203125" style="278" customWidth="1"/>
    <col min="12538" max="12538" width="11.109375" style="278" bestFit="1" customWidth="1"/>
    <col min="12539" max="12539" width="2.33203125" style="278" customWidth="1"/>
    <col min="12540" max="12540" width="10.6640625" style="278" bestFit="1" customWidth="1"/>
    <col min="12541" max="12541" width="2.33203125" style="278" customWidth="1"/>
    <col min="12542" max="12542" width="9.109375" style="278"/>
    <col min="12543" max="12543" width="2.33203125" style="278" customWidth="1"/>
    <col min="12544" max="12544" width="9.109375" style="278"/>
    <col min="12545" max="12545" width="2.6640625" style="278" customWidth="1"/>
    <col min="12546" max="12787" width="9.109375" style="278"/>
    <col min="12788" max="12788" width="32.109375" style="278" customWidth="1"/>
    <col min="12789" max="12789" width="2.33203125" style="278" customWidth="1"/>
    <col min="12790" max="12790" width="11.6640625" style="278" bestFit="1" customWidth="1"/>
    <col min="12791" max="12791" width="2.33203125" style="278" customWidth="1"/>
    <col min="12792" max="12792" width="11.33203125" style="278" bestFit="1" customWidth="1"/>
    <col min="12793" max="12793" width="2.33203125" style="278" customWidth="1"/>
    <col min="12794" max="12794" width="11.109375" style="278" bestFit="1" customWidth="1"/>
    <col min="12795" max="12795" width="2.33203125" style="278" customWidth="1"/>
    <col min="12796" max="12796" width="10.6640625" style="278" bestFit="1" customWidth="1"/>
    <col min="12797" max="12797" width="2.33203125" style="278" customWidth="1"/>
    <col min="12798" max="12798" width="9.109375" style="278"/>
    <col min="12799" max="12799" width="2.33203125" style="278" customWidth="1"/>
    <col min="12800" max="12800" width="9.109375" style="278"/>
    <col min="12801" max="12801" width="2.6640625" style="278" customWidth="1"/>
    <col min="12802" max="13043" width="9.109375" style="278"/>
    <col min="13044" max="13044" width="32.109375" style="278" customWidth="1"/>
    <col min="13045" max="13045" width="2.33203125" style="278" customWidth="1"/>
    <col min="13046" max="13046" width="11.6640625" style="278" bestFit="1" customWidth="1"/>
    <col min="13047" max="13047" width="2.33203125" style="278" customWidth="1"/>
    <col min="13048" max="13048" width="11.33203125" style="278" bestFit="1" customWidth="1"/>
    <col min="13049" max="13049" width="2.33203125" style="278" customWidth="1"/>
    <col min="13050" max="13050" width="11.109375" style="278" bestFit="1" customWidth="1"/>
    <col min="13051" max="13051" width="2.33203125" style="278" customWidth="1"/>
    <col min="13052" max="13052" width="10.6640625" style="278" bestFit="1" customWidth="1"/>
    <col min="13053" max="13053" width="2.33203125" style="278" customWidth="1"/>
    <col min="13054" max="13054" width="9.109375" style="278"/>
    <col min="13055" max="13055" width="2.33203125" style="278" customWidth="1"/>
    <col min="13056" max="13056" width="9.109375" style="278"/>
    <col min="13057" max="13057" width="2.6640625" style="278" customWidth="1"/>
    <col min="13058" max="13299" width="9.109375" style="278"/>
    <col min="13300" max="13300" width="32.109375" style="278" customWidth="1"/>
    <col min="13301" max="13301" width="2.33203125" style="278" customWidth="1"/>
    <col min="13302" max="13302" width="11.6640625" style="278" bestFit="1" customWidth="1"/>
    <col min="13303" max="13303" width="2.33203125" style="278" customWidth="1"/>
    <col min="13304" max="13304" width="11.33203125" style="278" bestFit="1" customWidth="1"/>
    <col min="13305" max="13305" width="2.33203125" style="278" customWidth="1"/>
    <col min="13306" max="13306" width="11.109375" style="278" bestFit="1" customWidth="1"/>
    <col min="13307" max="13307" width="2.33203125" style="278" customWidth="1"/>
    <col min="13308" max="13308" width="10.6640625" style="278" bestFit="1" customWidth="1"/>
    <col min="13309" max="13309" width="2.33203125" style="278" customWidth="1"/>
    <col min="13310" max="13310" width="9.109375" style="278"/>
    <col min="13311" max="13311" width="2.33203125" style="278" customWidth="1"/>
    <col min="13312" max="13312" width="9.109375" style="278"/>
    <col min="13313" max="13313" width="2.6640625" style="278" customWidth="1"/>
    <col min="13314" max="13555" width="9.109375" style="278"/>
    <col min="13556" max="13556" width="32.109375" style="278" customWidth="1"/>
    <col min="13557" max="13557" width="2.33203125" style="278" customWidth="1"/>
    <col min="13558" max="13558" width="11.6640625" style="278" bestFit="1" customWidth="1"/>
    <col min="13559" max="13559" width="2.33203125" style="278" customWidth="1"/>
    <col min="13560" max="13560" width="11.33203125" style="278" bestFit="1" customWidth="1"/>
    <col min="13561" max="13561" width="2.33203125" style="278" customWidth="1"/>
    <col min="13562" max="13562" width="11.109375" style="278" bestFit="1" customWidth="1"/>
    <col min="13563" max="13563" width="2.33203125" style="278" customWidth="1"/>
    <col min="13564" max="13564" width="10.6640625" style="278" bestFit="1" customWidth="1"/>
    <col min="13565" max="13565" width="2.33203125" style="278" customWidth="1"/>
    <col min="13566" max="13566" width="9.109375" style="278"/>
    <col min="13567" max="13567" width="2.33203125" style="278" customWidth="1"/>
    <col min="13568" max="13568" width="9.109375" style="278"/>
    <col min="13569" max="13569" width="2.6640625" style="278" customWidth="1"/>
    <col min="13570" max="13811" width="9.109375" style="278"/>
    <col min="13812" max="13812" width="32.109375" style="278" customWidth="1"/>
    <col min="13813" max="13813" width="2.33203125" style="278" customWidth="1"/>
    <col min="13814" max="13814" width="11.6640625" style="278" bestFit="1" customWidth="1"/>
    <col min="13815" max="13815" width="2.33203125" style="278" customWidth="1"/>
    <col min="13816" max="13816" width="11.33203125" style="278" bestFit="1" customWidth="1"/>
    <col min="13817" max="13817" width="2.33203125" style="278" customWidth="1"/>
    <col min="13818" max="13818" width="11.109375" style="278" bestFit="1" customWidth="1"/>
    <col min="13819" max="13819" width="2.33203125" style="278" customWidth="1"/>
    <col min="13820" max="13820" width="10.6640625" style="278" bestFit="1" customWidth="1"/>
    <col min="13821" max="13821" width="2.33203125" style="278" customWidth="1"/>
    <col min="13822" max="13822" width="9.109375" style="278"/>
    <col min="13823" max="13823" width="2.33203125" style="278" customWidth="1"/>
    <col min="13824" max="13824" width="9.109375" style="278"/>
    <col min="13825" max="13825" width="2.6640625" style="278" customWidth="1"/>
    <col min="13826" max="14067" width="9.109375" style="278"/>
    <col min="14068" max="14068" width="32.109375" style="278" customWidth="1"/>
    <col min="14069" max="14069" width="2.33203125" style="278" customWidth="1"/>
    <col min="14070" max="14070" width="11.6640625" style="278" bestFit="1" customWidth="1"/>
    <col min="14071" max="14071" width="2.33203125" style="278" customWidth="1"/>
    <col min="14072" max="14072" width="11.33203125" style="278" bestFit="1" customWidth="1"/>
    <col min="14073" max="14073" width="2.33203125" style="278" customWidth="1"/>
    <col min="14074" max="14074" width="11.109375" style="278" bestFit="1" customWidth="1"/>
    <col min="14075" max="14075" width="2.33203125" style="278" customWidth="1"/>
    <col min="14076" max="14076" width="10.6640625" style="278" bestFit="1" customWidth="1"/>
    <col min="14077" max="14077" width="2.33203125" style="278" customWidth="1"/>
    <col min="14078" max="14078" width="9.109375" style="278"/>
    <col min="14079" max="14079" width="2.33203125" style="278" customWidth="1"/>
    <col min="14080" max="14080" width="9.109375" style="278"/>
    <col min="14081" max="14081" width="2.6640625" style="278" customWidth="1"/>
    <col min="14082" max="14323" width="9.109375" style="278"/>
    <col min="14324" max="14324" width="32.109375" style="278" customWidth="1"/>
    <col min="14325" max="14325" width="2.33203125" style="278" customWidth="1"/>
    <col min="14326" max="14326" width="11.6640625" style="278" bestFit="1" customWidth="1"/>
    <col min="14327" max="14327" width="2.33203125" style="278" customWidth="1"/>
    <col min="14328" max="14328" width="11.33203125" style="278" bestFit="1" customWidth="1"/>
    <col min="14329" max="14329" width="2.33203125" style="278" customWidth="1"/>
    <col min="14330" max="14330" width="11.109375" style="278" bestFit="1" customWidth="1"/>
    <col min="14331" max="14331" width="2.33203125" style="278" customWidth="1"/>
    <col min="14332" max="14332" width="10.6640625" style="278" bestFit="1" customWidth="1"/>
    <col min="14333" max="14333" width="2.33203125" style="278" customWidth="1"/>
    <col min="14334" max="14334" width="9.109375" style="278"/>
    <col min="14335" max="14335" width="2.33203125" style="278" customWidth="1"/>
    <col min="14336" max="14336" width="9.109375" style="278"/>
    <col min="14337" max="14337" width="2.6640625" style="278" customWidth="1"/>
    <col min="14338" max="14579" width="9.109375" style="278"/>
    <col min="14580" max="14580" width="32.109375" style="278" customWidth="1"/>
    <col min="14581" max="14581" width="2.33203125" style="278" customWidth="1"/>
    <col min="14582" max="14582" width="11.6640625" style="278" bestFit="1" customWidth="1"/>
    <col min="14583" max="14583" width="2.33203125" style="278" customWidth="1"/>
    <col min="14584" max="14584" width="11.33203125" style="278" bestFit="1" customWidth="1"/>
    <col min="14585" max="14585" width="2.33203125" style="278" customWidth="1"/>
    <col min="14586" max="14586" width="11.109375" style="278" bestFit="1" customWidth="1"/>
    <col min="14587" max="14587" width="2.33203125" style="278" customWidth="1"/>
    <col min="14588" max="14588" width="10.6640625" style="278" bestFit="1" customWidth="1"/>
    <col min="14589" max="14589" width="2.33203125" style="278" customWidth="1"/>
    <col min="14590" max="14590" width="9.109375" style="278"/>
    <col min="14591" max="14591" width="2.33203125" style="278" customWidth="1"/>
    <col min="14592" max="14592" width="9.109375" style="278"/>
    <col min="14593" max="14593" width="2.6640625" style="278" customWidth="1"/>
    <col min="14594" max="14835" width="9.109375" style="278"/>
    <col min="14836" max="14836" width="32.109375" style="278" customWidth="1"/>
    <col min="14837" max="14837" width="2.33203125" style="278" customWidth="1"/>
    <col min="14838" max="14838" width="11.6640625" style="278" bestFit="1" customWidth="1"/>
    <col min="14839" max="14839" width="2.33203125" style="278" customWidth="1"/>
    <col min="14840" max="14840" width="11.33203125" style="278" bestFit="1" customWidth="1"/>
    <col min="14841" max="14841" width="2.33203125" style="278" customWidth="1"/>
    <col min="14842" max="14842" width="11.109375" style="278" bestFit="1" customWidth="1"/>
    <col min="14843" max="14843" width="2.33203125" style="278" customWidth="1"/>
    <col min="14844" max="14844" width="10.6640625" style="278" bestFit="1" customWidth="1"/>
    <col min="14845" max="14845" width="2.33203125" style="278" customWidth="1"/>
    <col min="14846" max="14846" width="9.109375" style="278"/>
    <col min="14847" max="14847" width="2.33203125" style="278" customWidth="1"/>
    <col min="14848" max="14848" width="9.109375" style="278"/>
    <col min="14849" max="14849" width="2.6640625" style="278" customWidth="1"/>
    <col min="14850" max="15091" width="9.109375" style="278"/>
    <col min="15092" max="15092" width="32.109375" style="278" customWidth="1"/>
    <col min="15093" max="15093" width="2.33203125" style="278" customWidth="1"/>
    <col min="15094" max="15094" width="11.6640625" style="278" bestFit="1" customWidth="1"/>
    <col min="15095" max="15095" width="2.33203125" style="278" customWidth="1"/>
    <col min="15096" max="15096" width="11.33203125" style="278" bestFit="1" customWidth="1"/>
    <col min="15097" max="15097" width="2.33203125" style="278" customWidth="1"/>
    <col min="15098" max="15098" width="11.109375" style="278" bestFit="1" customWidth="1"/>
    <col min="15099" max="15099" width="2.33203125" style="278" customWidth="1"/>
    <col min="15100" max="15100" width="10.6640625" style="278" bestFit="1" customWidth="1"/>
    <col min="15101" max="15101" width="2.33203125" style="278" customWidth="1"/>
    <col min="15102" max="15102" width="9.109375" style="278"/>
    <col min="15103" max="15103" width="2.33203125" style="278" customWidth="1"/>
    <col min="15104" max="15104" width="9.109375" style="278"/>
    <col min="15105" max="15105" width="2.6640625" style="278" customWidth="1"/>
    <col min="15106" max="15347" width="9.109375" style="278"/>
    <col min="15348" max="15348" width="32.109375" style="278" customWidth="1"/>
    <col min="15349" max="15349" width="2.33203125" style="278" customWidth="1"/>
    <col min="15350" max="15350" width="11.6640625" style="278" bestFit="1" customWidth="1"/>
    <col min="15351" max="15351" width="2.33203125" style="278" customWidth="1"/>
    <col min="15352" max="15352" width="11.33203125" style="278" bestFit="1" customWidth="1"/>
    <col min="15353" max="15353" width="2.33203125" style="278" customWidth="1"/>
    <col min="15354" max="15354" width="11.109375" style="278" bestFit="1" customWidth="1"/>
    <col min="15355" max="15355" width="2.33203125" style="278" customWidth="1"/>
    <col min="15356" max="15356" width="10.6640625" style="278" bestFit="1" customWidth="1"/>
    <col min="15357" max="15357" width="2.33203125" style="278" customWidth="1"/>
    <col min="15358" max="15358" width="9.109375" style="278"/>
    <col min="15359" max="15359" width="2.33203125" style="278" customWidth="1"/>
    <col min="15360" max="15360" width="9.109375" style="278"/>
    <col min="15361" max="15361" width="2.6640625" style="278" customWidth="1"/>
    <col min="15362" max="15603" width="9.109375" style="278"/>
    <col min="15604" max="15604" width="32.109375" style="278" customWidth="1"/>
    <col min="15605" max="15605" width="2.33203125" style="278" customWidth="1"/>
    <col min="15606" max="15606" width="11.6640625" style="278" bestFit="1" customWidth="1"/>
    <col min="15607" max="15607" width="2.33203125" style="278" customWidth="1"/>
    <col min="15608" max="15608" width="11.33203125" style="278" bestFit="1" customWidth="1"/>
    <col min="15609" max="15609" width="2.33203125" style="278" customWidth="1"/>
    <col min="15610" max="15610" width="11.109375" style="278" bestFit="1" customWidth="1"/>
    <col min="15611" max="15611" width="2.33203125" style="278" customWidth="1"/>
    <col min="15612" max="15612" width="10.6640625" style="278" bestFit="1" customWidth="1"/>
    <col min="15613" max="15613" width="2.33203125" style="278" customWidth="1"/>
    <col min="15614" max="15614" width="9.109375" style="278"/>
    <col min="15615" max="15615" width="2.33203125" style="278" customWidth="1"/>
    <col min="15616" max="15616" width="9.109375" style="278"/>
    <col min="15617" max="15617" width="2.6640625" style="278" customWidth="1"/>
    <col min="15618" max="15859" width="9.109375" style="278"/>
    <col min="15860" max="15860" width="32.109375" style="278" customWidth="1"/>
    <col min="15861" max="15861" width="2.33203125" style="278" customWidth="1"/>
    <col min="15862" max="15862" width="11.6640625" style="278" bestFit="1" customWidth="1"/>
    <col min="15863" max="15863" width="2.33203125" style="278" customWidth="1"/>
    <col min="15864" max="15864" width="11.33203125" style="278" bestFit="1" customWidth="1"/>
    <col min="15865" max="15865" width="2.33203125" style="278" customWidth="1"/>
    <col min="15866" max="15866" width="11.109375" style="278" bestFit="1" customWidth="1"/>
    <col min="15867" max="15867" width="2.33203125" style="278" customWidth="1"/>
    <col min="15868" max="15868" width="10.6640625" style="278" bestFit="1" customWidth="1"/>
    <col min="15869" max="15869" width="2.33203125" style="278" customWidth="1"/>
    <col min="15870" max="15870" width="9.109375" style="278"/>
    <col min="15871" max="15871" width="2.33203125" style="278" customWidth="1"/>
    <col min="15872" max="15872" width="9.109375" style="278"/>
    <col min="15873" max="15873" width="2.6640625" style="278" customWidth="1"/>
    <col min="15874" max="16115" width="9.109375" style="278"/>
    <col min="16116" max="16116" width="32.109375" style="278" customWidth="1"/>
    <col min="16117" max="16117" width="2.33203125" style="278" customWidth="1"/>
    <col min="16118" max="16118" width="11.6640625" style="278" bestFit="1" customWidth="1"/>
    <col min="16119" max="16119" width="2.33203125" style="278" customWidth="1"/>
    <col min="16120" max="16120" width="11.33203125" style="278" bestFit="1" customWidth="1"/>
    <col min="16121" max="16121" width="2.33203125" style="278" customWidth="1"/>
    <col min="16122" max="16122" width="11.109375" style="278" bestFit="1" customWidth="1"/>
    <col min="16123" max="16123" width="2.33203125" style="278" customWidth="1"/>
    <col min="16124" max="16124" width="10.6640625" style="278" bestFit="1" customWidth="1"/>
    <col min="16125" max="16125" width="2.33203125" style="278" customWidth="1"/>
    <col min="16126" max="16126" width="9.109375" style="278"/>
    <col min="16127" max="16127" width="2.33203125" style="278" customWidth="1"/>
    <col min="16128" max="16128" width="9.109375" style="278"/>
    <col min="16129" max="16129" width="2.6640625" style="278" customWidth="1"/>
    <col min="16130" max="16384" width="9.109375" style="278"/>
  </cols>
  <sheetData>
    <row r="1" spans="1:11">
      <c r="A1" s="276" t="s">
        <v>94</v>
      </c>
      <c r="B1" s="277"/>
      <c r="C1" s="209"/>
      <c r="D1" s="209"/>
      <c r="E1" s="209"/>
      <c r="F1" s="209"/>
      <c r="G1" s="209"/>
      <c r="H1" s="277"/>
      <c r="I1" s="277"/>
      <c r="J1" s="277"/>
      <c r="K1" s="277"/>
    </row>
    <row r="2" spans="1:11">
      <c r="A2" s="276" t="s">
        <v>283</v>
      </c>
      <c r="B2" s="277"/>
      <c r="C2" s="209"/>
      <c r="D2" s="209"/>
      <c r="E2" s="209"/>
      <c r="F2" s="209"/>
      <c r="G2" s="209"/>
      <c r="H2" s="277"/>
      <c r="I2" s="277"/>
      <c r="J2" s="277"/>
      <c r="K2" s="277"/>
    </row>
    <row r="3" spans="1:11">
      <c r="A3" s="276" t="s">
        <v>268</v>
      </c>
      <c r="B3" s="277"/>
      <c r="C3" s="209"/>
      <c r="D3" s="209"/>
      <c r="E3" s="209"/>
      <c r="F3" s="209"/>
      <c r="G3" s="209"/>
      <c r="H3" s="277"/>
      <c r="I3" s="277"/>
      <c r="J3" s="277"/>
      <c r="K3" s="277"/>
    </row>
    <row r="4" spans="1:11">
      <c r="A4" s="276">
        <v>2015</v>
      </c>
      <c r="B4" s="277"/>
      <c r="C4" s="209"/>
      <c r="D4" s="209"/>
      <c r="E4" s="209"/>
      <c r="F4" s="209"/>
      <c r="G4" s="209"/>
      <c r="H4" s="277"/>
      <c r="I4" s="277"/>
      <c r="J4" s="277"/>
      <c r="K4" s="277"/>
    </row>
    <row r="5" spans="1:11">
      <c r="A5" s="276"/>
      <c r="B5" s="277"/>
      <c r="C5" s="209"/>
      <c r="D5" s="209"/>
      <c r="E5" s="209"/>
      <c r="F5" s="209"/>
      <c r="G5" s="209"/>
      <c r="H5" s="277"/>
      <c r="I5" s="277"/>
      <c r="J5" s="277"/>
      <c r="K5" s="277"/>
    </row>
    <row r="6" spans="1:11">
      <c r="C6" s="278"/>
      <c r="D6" s="278"/>
      <c r="E6" s="278"/>
      <c r="F6" s="278"/>
      <c r="G6" s="278"/>
      <c r="H6" s="280"/>
      <c r="I6" s="280"/>
      <c r="J6" s="280"/>
    </row>
    <row r="7" spans="1:11">
      <c r="C7" s="498" t="s">
        <v>346</v>
      </c>
      <c r="D7" s="498"/>
      <c r="E7" s="498"/>
      <c r="F7" s="498"/>
      <c r="G7" s="498"/>
      <c r="H7" s="498"/>
      <c r="I7" s="498"/>
      <c r="J7" s="280"/>
      <c r="K7" s="284" t="s">
        <v>295</v>
      </c>
    </row>
    <row r="8" spans="1:11" s="279" customFormat="1">
      <c r="A8" s="286" t="s">
        <v>260</v>
      </c>
      <c r="B8" s="284"/>
      <c r="C8" s="315" t="s">
        <v>213</v>
      </c>
      <c r="D8" s="285"/>
      <c r="E8" s="315" t="s">
        <v>214</v>
      </c>
      <c r="F8" s="285"/>
      <c r="G8" s="315" t="s">
        <v>292</v>
      </c>
      <c r="H8" s="314"/>
      <c r="I8" s="315" t="s">
        <v>107</v>
      </c>
      <c r="J8" s="314"/>
      <c r="K8" s="286" t="s">
        <v>292</v>
      </c>
    </row>
    <row r="9" spans="1:11">
      <c r="A9" s="329" t="s">
        <v>297</v>
      </c>
      <c r="C9" s="280"/>
      <c r="D9" s="280"/>
      <c r="E9" s="280"/>
      <c r="F9" s="280"/>
      <c r="G9" s="280"/>
      <c r="H9" s="280"/>
      <c r="I9" s="280"/>
      <c r="J9" s="280"/>
    </row>
    <row r="10" spans="1:11">
      <c r="A10" s="283" t="s">
        <v>262</v>
      </c>
      <c r="C10" s="287">
        <f>+'Total Program Inputs'!C11</f>
        <v>136</v>
      </c>
      <c r="D10" s="275"/>
      <c r="E10" s="288">
        <f>+'Total Program Inputs'!M11</f>
        <v>43831</v>
      </c>
      <c r="F10" s="275"/>
      <c r="G10" s="251">
        <f>+'Total Program Inputs'!E11</f>
        <v>1086</v>
      </c>
      <c r="H10" s="280"/>
      <c r="I10" s="316">
        <f t="shared" ref="I10:I22" si="0">+ROUND(E10/G10,2)</f>
        <v>40.36</v>
      </c>
      <c r="J10" s="280"/>
      <c r="K10" s="287">
        <f>+'Res .95+% Res Furnace - NEW'!M36</f>
        <v>21720</v>
      </c>
    </row>
    <row r="11" spans="1:11">
      <c r="A11" s="283" t="s">
        <v>296</v>
      </c>
      <c r="C11" s="287">
        <f>+'Total Program Inputs'!C12</f>
        <v>202</v>
      </c>
      <c r="D11" s="275"/>
      <c r="E11" s="287">
        <f>+'Total Program Inputs'!M12</f>
        <v>65103</v>
      </c>
      <c r="F11" s="275"/>
      <c r="G11" s="251">
        <f>+'Total Program Inputs'!E12</f>
        <v>2559</v>
      </c>
      <c r="H11" s="280"/>
      <c r="I11" s="282">
        <f t="shared" si="0"/>
        <v>25.44</v>
      </c>
      <c r="J11" s="280"/>
      <c r="K11" s="287">
        <f>+'Res .95+% Res Furnace - Replace'!M36</f>
        <v>51180</v>
      </c>
    </row>
    <row r="12" spans="1:11">
      <c r="A12" s="283" t="s">
        <v>361</v>
      </c>
      <c r="C12" s="287">
        <f>+'Total Program Inputs'!C13</f>
        <v>4</v>
      </c>
      <c r="D12" s="275"/>
      <c r="E12" s="287">
        <f>+'Total Program Inputs'!M13</f>
        <v>429</v>
      </c>
      <c r="F12" s="275"/>
      <c r="G12" s="251">
        <f>+'Total Program Inputs'!E13</f>
        <v>18</v>
      </c>
      <c r="H12" s="280"/>
      <c r="I12" s="282">
        <f t="shared" si="0"/>
        <v>23.83</v>
      </c>
      <c r="J12" s="280"/>
      <c r="K12" s="287">
        <f>+'Res Water Heating .67 EF'!M36</f>
        <v>180</v>
      </c>
    </row>
    <row r="13" spans="1:11">
      <c r="A13" s="283" t="s">
        <v>299</v>
      </c>
      <c r="C13" s="289">
        <f>+'Total Program Inputs'!C14</f>
        <v>152</v>
      </c>
      <c r="D13" s="275"/>
      <c r="E13" s="289">
        <f>+'Total Program Inputs'!M14</f>
        <v>3266</v>
      </c>
      <c r="F13" s="275"/>
      <c r="G13" s="326">
        <f>+'Total Program Inputs'!E14</f>
        <v>441</v>
      </c>
      <c r="H13" s="280"/>
      <c r="I13" s="318">
        <f t="shared" si="0"/>
        <v>7.41</v>
      </c>
      <c r="J13" s="280"/>
      <c r="K13" s="289">
        <f>+'Programmable Thermostats'!M36</f>
        <v>4410</v>
      </c>
    </row>
    <row r="14" spans="1:11">
      <c r="A14" s="278" t="s">
        <v>293</v>
      </c>
      <c r="C14" s="287">
        <f>SUM(C10:C13)</f>
        <v>494</v>
      </c>
      <c r="D14" s="275"/>
      <c r="E14" s="288">
        <f>SUM(E10:E13)</f>
        <v>112629</v>
      </c>
      <c r="F14" s="275"/>
      <c r="G14" s="251">
        <f>SUM(G10:G13)</f>
        <v>4104</v>
      </c>
      <c r="H14" s="280"/>
      <c r="I14" s="316">
        <f t="shared" si="0"/>
        <v>27.44</v>
      </c>
      <c r="J14" s="280"/>
      <c r="K14" s="287">
        <f>SUM(K10:K13)</f>
        <v>77490</v>
      </c>
    </row>
    <row r="15" spans="1:11">
      <c r="A15" s="281"/>
      <c r="C15" s="287"/>
      <c r="D15" s="275"/>
      <c r="E15" s="287"/>
      <c r="F15" s="275"/>
      <c r="G15" s="251"/>
      <c r="H15" s="280"/>
      <c r="I15" s="280"/>
      <c r="J15" s="280"/>
      <c r="K15" s="287"/>
    </row>
    <row r="16" spans="1:11">
      <c r="A16" s="329" t="s">
        <v>298</v>
      </c>
      <c r="C16" s="287"/>
      <c r="D16" s="275"/>
      <c r="E16" s="287"/>
      <c r="F16" s="275"/>
      <c r="G16" s="251"/>
      <c r="H16" s="280"/>
      <c r="I16" s="280"/>
      <c r="J16" s="280"/>
      <c r="K16" s="287"/>
    </row>
    <row r="17" spans="1:11">
      <c r="A17" s="283" t="s">
        <v>262</v>
      </c>
      <c r="C17" s="287">
        <f>+'Total Program Inputs'!C17</f>
        <v>0</v>
      </c>
      <c r="D17" s="275"/>
      <c r="E17" s="288">
        <f>+'Total Program Inputs'!M17</f>
        <v>0</v>
      </c>
      <c r="F17" s="275"/>
      <c r="G17" s="251">
        <f>+'Total Program Inputs'!E17</f>
        <v>0</v>
      </c>
      <c r="H17" s="280"/>
      <c r="I17" s="316"/>
      <c r="J17" s="280"/>
      <c r="K17" s="287"/>
    </row>
    <row r="18" spans="1:11">
      <c r="A18" s="283" t="s">
        <v>296</v>
      </c>
      <c r="C18" s="287">
        <f>+'Total Program Inputs'!C18</f>
        <v>6</v>
      </c>
      <c r="D18" s="275"/>
      <c r="E18" s="287">
        <f>+'Total Program Inputs'!M18</f>
        <v>1934</v>
      </c>
      <c r="F18" s="275"/>
      <c r="G18" s="251">
        <f>+'Total Program Inputs'!E18</f>
        <v>150</v>
      </c>
      <c r="H18" s="280"/>
      <c r="I18" s="282">
        <f t="shared" si="0"/>
        <v>12.89</v>
      </c>
      <c r="J18" s="280"/>
      <c r="K18" s="287">
        <f>+'Comm 95+% Furnace - Replace'!M36</f>
        <v>3000</v>
      </c>
    </row>
    <row r="19" spans="1:11">
      <c r="A19" s="283" t="s">
        <v>247</v>
      </c>
      <c r="C19" s="289">
        <f>+'Total Program Inputs'!C19</f>
        <v>0</v>
      </c>
      <c r="D19" s="275"/>
      <c r="E19" s="289">
        <f>+'Total Program Inputs'!M19</f>
        <v>0</v>
      </c>
      <c r="F19" s="275"/>
      <c r="G19" s="326">
        <f>+'Total Program Inputs'!E19</f>
        <v>0</v>
      </c>
      <c r="H19" s="280"/>
      <c r="I19" s="318"/>
      <c r="J19" s="280"/>
      <c r="K19" s="289"/>
    </row>
    <row r="20" spans="1:11">
      <c r="A20" s="328" t="s">
        <v>294</v>
      </c>
      <c r="C20" s="287">
        <f>SUM(C17:C19)</f>
        <v>6</v>
      </c>
      <c r="D20" s="275"/>
      <c r="E20" s="290">
        <f>SUM(E17:E19)</f>
        <v>1934</v>
      </c>
      <c r="F20" s="275"/>
      <c r="G20" s="251">
        <f>SUM(G17:G19)</f>
        <v>150</v>
      </c>
      <c r="H20" s="280"/>
      <c r="I20" s="316">
        <f t="shared" si="0"/>
        <v>12.89</v>
      </c>
      <c r="J20" s="280"/>
      <c r="K20" s="287">
        <f>SUM(K17:K19)</f>
        <v>3000</v>
      </c>
    </row>
    <row r="21" spans="1:11">
      <c r="A21" s="281"/>
      <c r="C21" s="287"/>
      <c r="D21" s="275"/>
      <c r="E21" s="287"/>
      <c r="F21" s="275"/>
      <c r="G21" s="251"/>
      <c r="H21" s="280"/>
      <c r="I21" s="280"/>
      <c r="J21" s="280"/>
      <c r="K21" s="287"/>
    </row>
    <row r="22" spans="1:11" ht="13.8" thickBot="1">
      <c r="A22" s="328" t="s">
        <v>261</v>
      </c>
      <c r="C22" s="291">
        <f>+C14+C20</f>
        <v>500</v>
      </c>
      <c r="D22" s="275"/>
      <c r="E22" s="292">
        <f>+E14+E20</f>
        <v>114563</v>
      </c>
      <c r="F22" s="275"/>
      <c r="G22" s="327">
        <f>+G14+G20</f>
        <v>4254</v>
      </c>
      <c r="H22" s="280"/>
      <c r="I22" s="317">
        <f t="shared" si="0"/>
        <v>26.93</v>
      </c>
      <c r="J22" s="280"/>
      <c r="K22" s="291">
        <f>+K14+K20</f>
        <v>80490</v>
      </c>
    </row>
    <row r="23" spans="1:11" ht="13.8" thickTop="1"/>
    <row r="27" spans="1:11">
      <c r="A27" s="537" t="s">
        <v>362</v>
      </c>
    </row>
  </sheetData>
  <pageMargins left="0.99" right="0.27" top="0.75" bottom="0.75" header="0.3" footer="0.3"/>
  <pageSetup orientation="portrait" r:id="rId1"/>
  <headerFoot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214"/>
  <sheetViews>
    <sheetView showGridLines="0" topLeftCell="BA1" zoomScaleNormal="100" workbookViewId="0">
      <selection activeCell="CK45" sqref="CK45"/>
    </sheetView>
  </sheetViews>
  <sheetFormatPr defaultColWidth="10.6640625" defaultRowHeight="13.2"/>
  <cols>
    <col min="1" max="1" width="29.33203125" style="187" customWidth="1"/>
    <col min="2" max="2" width="11.109375" style="187" customWidth="1"/>
    <col min="3" max="3" width="13" style="187" customWidth="1"/>
    <col min="4" max="4" width="4.6640625" style="187" customWidth="1"/>
    <col min="5" max="5" width="44.88671875" style="187" customWidth="1"/>
    <col min="6" max="6" width="9.109375" style="187" bestFit="1" customWidth="1"/>
    <col min="7" max="8" width="11.6640625" style="187" bestFit="1" customWidth="1"/>
    <col min="9" max="9" width="3.6640625" style="187" customWidth="1"/>
    <col min="10" max="10" width="2.88671875" style="187" customWidth="1"/>
    <col min="11" max="11" width="4" style="187" customWidth="1"/>
    <col min="12" max="12" width="10.33203125" style="187" customWidth="1"/>
    <col min="13" max="13" width="9" style="187" customWidth="1"/>
    <col min="14" max="14" width="10.44140625" style="321" bestFit="1" customWidth="1"/>
    <col min="15" max="15" width="10.44140625" style="187" bestFit="1" customWidth="1"/>
    <col min="16" max="17" width="7.6640625" style="187" bestFit="1" customWidth="1"/>
    <col min="18" max="18" width="7.44140625" style="187" bestFit="1" customWidth="1"/>
    <col min="19" max="19" width="9.33203125" style="187" bestFit="1" customWidth="1"/>
    <col min="20" max="20" width="7.88671875" style="187" bestFit="1" customWidth="1"/>
    <col min="21" max="22" width="9.109375" style="187" bestFit="1" customWidth="1"/>
    <col min="23" max="23" width="10.33203125" style="187" bestFit="1" customWidth="1"/>
    <col min="24" max="24" width="8.88671875" style="187" customWidth="1"/>
    <col min="25" max="25" width="8" style="187" bestFit="1" customWidth="1"/>
    <col min="26" max="26" width="8.109375" style="187" bestFit="1" customWidth="1"/>
    <col min="27" max="27" width="9.44140625" style="187" customWidth="1"/>
    <col min="28" max="28" width="9.109375" style="187" bestFit="1" customWidth="1"/>
    <col min="29" max="29" width="3.5546875" style="187" customWidth="1"/>
    <col min="30" max="30" width="2.88671875" style="187" customWidth="1"/>
    <col min="31" max="31" width="7.88671875" style="187" customWidth="1"/>
    <col min="32" max="32" width="12.6640625" style="187" customWidth="1"/>
    <col min="33" max="33" width="10.109375" style="187" customWidth="1"/>
    <col min="34" max="34" width="9.109375" style="187" bestFit="1" customWidth="1"/>
    <col min="35" max="35" width="2.6640625" style="187" customWidth="1"/>
    <col min="36" max="36" width="8" style="187" bestFit="1" customWidth="1"/>
    <col min="37" max="37" width="8.109375" style="187" bestFit="1" customWidth="1"/>
    <col min="38" max="38" width="10.33203125" style="187" customWidth="1"/>
    <col min="39" max="39" width="2.6640625" style="187" customWidth="1"/>
    <col min="40" max="40" width="9.109375" style="187" bestFit="1" customWidth="1"/>
    <col min="41" max="41" width="3.88671875" style="187" customWidth="1"/>
    <col min="42" max="42" width="3.33203125" style="187" customWidth="1"/>
    <col min="43" max="43" width="7.88671875" style="187" customWidth="1"/>
    <col min="44" max="44" width="8.44140625" style="187" bestFit="1" customWidth="1"/>
    <col min="45" max="45" width="9.109375" style="187" bestFit="1" customWidth="1"/>
    <col min="46" max="47" width="8.33203125" style="187" bestFit="1" customWidth="1"/>
    <col min="48" max="49" width="12.5546875" style="187" bestFit="1" customWidth="1"/>
    <col min="50" max="50" width="11.109375" style="187" hidden="1" customWidth="1"/>
    <col min="51" max="51" width="2.6640625" style="187" hidden="1" customWidth="1"/>
    <col min="52" max="52" width="10.109375" style="336" customWidth="1"/>
    <col min="53" max="53" width="2.6640625" style="187" customWidth="1"/>
    <col min="54" max="54" width="8.109375" style="187" bestFit="1" customWidth="1"/>
    <col min="55" max="55" width="11.109375" style="187" bestFit="1" customWidth="1"/>
    <col min="56" max="56" width="8.109375" style="187" bestFit="1" customWidth="1"/>
    <col min="57" max="57" width="9.109375" style="187" bestFit="1" customWidth="1"/>
    <col min="58" max="58" width="3.6640625" style="187" customWidth="1"/>
    <col min="59" max="59" width="2.88671875" style="187" customWidth="1"/>
    <col min="60" max="60" width="9.88671875" style="187" customWidth="1"/>
    <col min="61" max="61" width="9.88671875" style="187" bestFit="1" customWidth="1"/>
    <col min="62" max="62" width="9.33203125" style="187" bestFit="1" customWidth="1"/>
    <col min="63" max="63" width="8.109375" style="187" bestFit="1" customWidth="1"/>
    <col min="64" max="64" width="7.44140625" style="187" bestFit="1" customWidth="1"/>
    <col min="65" max="65" width="10.109375" style="187" bestFit="1" customWidth="1"/>
    <col min="66" max="66" width="8.33203125" style="187" bestFit="1" customWidth="1"/>
    <col min="67" max="67" width="10.88671875" style="187" hidden="1" customWidth="1"/>
    <col min="68" max="68" width="9.109375" style="187" bestFit="1" customWidth="1"/>
    <col min="69" max="69" width="2.6640625" style="187" customWidth="1"/>
    <col min="70" max="70" width="9.88671875" style="187" bestFit="1" customWidth="1"/>
    <col min="71" max="71" width="2.6640625" style="187" customWidth="1"/>
    <col min="72" max="72" width="9.109375" style="187" bestFit="1" customWidth="1"/>
    <col min="73" max="73" width="3.6640625" style="187" customWidth="1"/>
    <col min="74" max="74" width="3.5546875" style="187" customWidth="1"/>
    <col min="75" max="75" width="7.33203125" style="187" customWidth="1"/>
    <col min="76" max="76" width="9.88671875" style="187" bestFit="1" customWidth="1"/>
    <col min="77" max="77" width="9.33203125" style="187" customWidth="1"/>
    <col min="78" max="78" width="8.33203125" style="187" bestFit="1" customWidth="1"/>
    <col min="79" max="79" width="9.109375" style="187" bestFit="1" customWidth="1"/>
    <col min="80" max="80" width="2.6640625" style="187" customWidth="1"/>
    <col min="81" max="81" width="8.109375" style="187" bestFit="1" customWidth="1"/>
    <col min="82" max="82" width="11.109375" style="187" bestFit="1" customWidth="1"/>
    <col min="83" max="83" width="8.109375" style="187" bestFit="1" customWidth="1"/>
    <col min="84" max="84" width="2.6640625" style="187" customWidth="1"/>
    <col min="85" max="85" width="9.109375" style="187" bestFit="1" customWidth="1"/>
    <col min="86" max="86" width="8.6640625" style="187" customWidth="1"/>
    <col min="87" max="88" width="10.6640625" style="187" customWidth="1"/>
    <col min="89" max="89" width="1.6640625" style="187" customWidth="1"/>
    <col min="90" max="93" width="8.6640625" style="187" customWidth="1"/>
    <col min="94" max="94" width="1.6640625" style="187" customWidth="1"/>
    <col min="95" max="95" width="9.6640625" style="187" customWidth="1"/>
    <col min="96" max="96" width="2.6640625" style="187" customWidth="1"/>
    <col min="97" max="97" width="10.6640625" style="187" customWidth="1"/>
    <col min="98" max="98" width="8.6640625" style="187" customWidth="1"/>
    <col min="99" max="99" width="9.6640625" style="187" customWidth="1"/>
    <col min="100" max="246" width="8.6640625" style="187" customWidth="1"/>
    <col min="247" max="16384" width="10.6640625" style="187"/>
  </cols>
  <sheetData>
    <row r="1" spans="1:106">
      <c r="A1" s="55" t="s">
        <v>109</v>
      </c>
      <c r="B1" s="55"/>
      <c r="C1" s="56"/>
      <c r="D1" s="55"/>
      <c r="E1" s="56"/>
      <c r="F1" s="55"/>
      <c r="G1" s="55"/>
      <c r="H1" s="332"/>
      <c r="K1" s="1" t="s">
        <v>1</v>
      </c>
      <c r="M1" s="333"/>
      <c r="N1" s="187"/>
      <c r="R1" s="321"/>
      <c r="T1" s="185"/>
      <c r="U1" s="185"/>
      <c r="AD1" s="1" t="s">
        <v>2</v>
      </c>
      <c r="AF1" s="333"/>
      <c r="AG1" s="185"/>
      <c r="AP1" s="1" t="s">
        <v>3</v>
      </c>
      <c r="AR1" s="333"/>
      <c r="AZ1" s="187"/>
      <c r="BC1" s="334"/>
      <c r="BG1" s="1" t="s">
        <v>4</v>
      </c>
      <c r="BJ1" s="185"/>
      <c r="BV1" s="1" t="s">
        <v>215</v>
      </c>
      <c r="BY1" s="185"/>
    </row>
    <row r="2" spans="1:106">
      <c r="A2" s="56" t="s">
        <v>108</v>
      </c>
      <c r="B2" s="55"/>
      <c r="C2" s="55"/>
      <c r="D2" s="55"/>
      <c r="E2" s="55"/>
      <c r="F2" s="55"/>
      <c r="G2" s="55"/>
      <c r="H2" s="332"/>
      <c r="K2" s="1" t="s">
        <v>5</v>
      </c>
      <c r="N2" s="187"/>
      <c r="R2" s="321"/>
      <c r="T2" s="185"/>
      <c r="U2" s="185"/>
      <c r="AD2" s="1" t="s">
        <v>6</v>
      </c>
      <c r="AG2" s="185"/>
      <c r="AP2" s="1" t="s">
        <v>7</v>
      </c>
      <c r="AZ2" s="187"/>
      <c r="BC2" s="334"/>
      <c r="BD2" s="334"/>
      <c r="BG2" s="1" t="s">
        <v>8</v>
      </c>
      <c r="BJ2" s="185"/>
      <c r="BO2" s="185"/>
      <c r="BV2" s="1" t="s">
        <v>216</v>
      </c>
      <c r="BY2" s="185"/>
    </row>
    <row r="3" spans="1:106">
      <c r="B3" s="335"/>
      <c r="C3" s="335"/>
      <c r="N3" s="187"/>
      <c r="R3" s="321"/>
      <c r="AZ3" s="187"/>
      <c r="BD3" s="334"/>
      <c r="BG3" s="336"/>
      <c r="BO3" s="185"/>
      <c r="BV3" s="336"/>
    </row>
    <row r="4" spans="1:106">
      <c r="A4" s="337" t="s">
        <v>9</v>
      </c>
      <c r="B4" s="7" t="s">
        <v>94</v>
      </c>
      <c r="K4" s="185" t="s">
        <v>9</v>
      </c>
      <c r="M4" s="10" t="str">
        <f>B4</f>
        <v>Montana-Dakota Utilities Co.</v>
      </c>
      <c r="N4" s="187"/>
      <c r="R4" s="321"/>
      <c r="S4" s="166"/>
      <c r="AD4" s="185" t="s">
        <v>9</v>
      </c>
      <c r="AF4" s="10" t="str">
        <f>B4</f>
        <v>Montana-Dakota Utilities Co.</v>
      </c>
      <c r="AP4" s="185" t="s">
        <v>11</v>
      </c>
      <c r="AR4" s="10" t="str">
        <f>AF4</f>
        <v>Montana-Dakota Utilities Co.</v>
      </c>
      <c r="AZ4" s="187"/>
      <c r="BH4" s="338" t="s">
        <v>11</v>
      </c>
      <c r="BI4" s="10" t="str">
        <f>AR4</f>
        <v>Montana-Dakota Utilities Co.</v>
      </c>
      <c r="BW4" s="338" t="s">
        <v>11</v>
      </c>
      <c r="BX4" s="10" t="str">
        <f>BI4</f>
        <v>Montana-Dakota Utilities Co.</v>
      </c>
    </row>
    <row r="5" spans="1:106">
      <c r="A5" s="337" t="s">
        <v>10</v>
      </c>
      <c r="B5" s="273" t="str">
        <f>'Database Inputs'!A13</f>
        <v>Programmable Thermostats</v>
      </c>
      <c r="C5" s="274"/>
      <c r="D5" s="274"/>
      <c r="E5" s="274"/>
      <c r="F5" s="274"/>
      <c r="G5" s="274"/>
      <c r="H5" s="274"/>
      <c r="K5" s="185" t="s">
        <v>10</v>
      </c>
      <c r="M5" s="10" t="str">
        <f>$B$5</f>
        <v>Programmable Thermostats</v>
      </c>
      <c r="N5" s="187"/>
      <c r="R5" s="321"/>
      <c r="AD5" s="185" t="s">
        <v>10</v>
      </c>
      <c r="AF5" s="10" t="str">
        <f>$B$5</f>
        <v>Programmable Thermostats</v>
      </c>
      <c r="AP5" s="185" t="s">
        <v>12</v>
      </c>
      <c r="AR5" s="10" t="str">
        <f>$B$5</f>
        <v>Programmable Thermostats</v>
      </c>
      <c r="AZ5" s="187"/>
      <c r="BH5" s="338" t="s">
        <v>12</v>
      </c>
      <c r="BI5" s="10" t="str">
        <f>$B$5</f>
        <v>Programmable Thermostats</v>
      </c>
      <c r="BW5" s="338" t="s">
        <v>12</v>
      </c>
      <c r="BX5" s="10" t="str">
        <f>$B$5</f>
        <v>Programmable Thermostats</v>
      </c>
    </row>
    <row r="6" spans="1:106">
      <c r="A6" s="337" t="s">
        <v>200</v>
      </c>
      <c r="B6" s="312" t="s">
        <v>346</v>
      </c>
      <c r="N6" s="187"/>
      <c r="R6" s="321"/>
      <c r="AZ6" s="187"/>
      <c r="BG6" s="336"/>
      <c r="BV6" s="336"/>
    </row>
    <row r="7" spans="1:106">
      <c r="M7" s="339"/>
      <c r="N7" s="47" t="s">
        <v>14</v>
      </c>
      <c r="O7" s="48"/>
      <c r="P7" s="48"/>
      <c r="Q7" s="48"/>
      <c r="R7" s="114"/>
      <c r="S7" s="48"/>
      <c r="T7" s="48"/>
      <c r="U7" s="48"/>
      <c r="V7" s="48"/>
      <c r="W7" s="339"/>
      <c r="X7" s="88" t="s">
        <v>15</v>
      </c>
      <c r="Y7" s="88"/>
      <c r="Z7" s="340"/>
      <c r="AA7" s="341"/>
      <c r="AB7" s="167"/>
      <c r="AC7" s="339"/>
      <c r="AD7" s="339"/>
      <c r="AE7" s="339"/>
      <c r="AF7" s="47" t="s">
        <v>14</v>
      </c>
      <c r="AG7" s="342"/>
      <c r="AH7" s="342"/>
      <c r="AI7" s="339"/>
      <c r="AJ7" s="88" t="s">
        <v>15</v>
      </c>
      <c r="AK7" s="88"/>
      <c r="AL7" s="88"/>
      <c r="AM7" s="339"/>
      <c r="AN7" s="343" t="s">
        <v>81</v>
      </c>
      <c r="AO7" s="339"/>
      <c r="AP7" s="339"/>
      <c r="AQ7" s="339"/>
      <c r="AR7" s="47" t="s">
        <v>14</v>
      </c>
      <c r="AS7" s="48"/>
      <c r="AT7" s="48"/>
      <c r="AU7" s="48"/>
      <c r="AV7" s="48"/>
      <c r="AW7" s="48"/>
      <c r="AX7" s="48"/>
      <c r="AY7" s="48"/>
      <c r="AZ7" s="48"/>
      <c r="BA7" s="339"/>
      <c r="BB7" s="88" t="s">
        <v>15</v>
      </c>
      <c r="BC7" s="88"/>
      <c r="BD7" s="89"/>
      <c r="BE7" s="75" t="s">
        <v>81</v>
      </c>
      <c r="BF7" s="339"/>
      <c r="BG7" s="198"/>
      <c r="BH7" s="339"/>
      <c r="BI7" s="47" t="s">
        <v>14</v>
      </c>
      <c r="BJ7" s="344"/>
      <c r="BK7" s="344"/>
      <c r="BL7" s="344"/>
      <c r="BM7" s="344"/>
      <c r="BN7" s="344"/>
      <c r="BO7" s="344"/>
      <c r="BP7" s="344"/>
      <c r="BQ7" s="339"/>
      <c r="BR7" s="126" t="s">
        <v>15</v>
      </c>
      <c r="BS7" s="125" t="s">
        <v>81</v>
      </c>
      <c r="BT7" s="339"/>
      <c r="BU7" s="339"/>
      <c r="BV7" s="198"/>
      <c r="BW7" s="339"/>
      <c r="BX7" s="47" t="s">
        <v>14</v>
      </c>
      <c r="BY7" s="344"/>
      <c r="BZ7" s="344"/>
      <c r="CA7" s="344"/>
      <c r="CB7" s="339"/>
      <c r="CC7" s="88" t="s">
        <v>15</v>
      </c>
      <c r="CD7" s="88"/>
      <c r="CE7" s="88"/>
      <c r="CF7" s="125" t="s">
        <v>81</v>
      </c>
      <c r="CG7" s="339"/>
    </row>
    <row r="8" spans="1:106">
      <c r="A8" s="345" t="s">
        <v>13</v>
      </c>
      <c r="B8" s="345"/>
      <c r="C8" s="346"/>
      <c r="E8" s="345"/>
      <c r="F8" s="184">
        <v>2015</v>
      </c>
      <c r="G8" s="167"/>
      <c r="H8" s="167"/>
      <c r="L8" s="339"/>
      <c r="M8" s="347"/>
      <c r="N8" s="347"/>
      <c r="O8" s="339"/>
      <c r="Q8" s="347"/>
      <c r="R8" s="348"/>
      <c r="S8" s="347"/>
      <c r="T8" s="347"/>
      <c r="U8" s="347"/>
      <c r="V8" s="347"/>
      <c r="W8" s="347"/>
      <c r="X8" s="347"/>
      <c r="Z8" s="347"/>
      <c r="AA8" s="167"/>
      <c r="AB8" s="167" t="s">
        <v>17</v>
      </c>
      <c r="AC8" s="339"/>
      <c r="AD8" s="339"/>
      <c r="AE8" s="339"/>
      <c r="AF8" s="347"/>
      <c r="AG8" s="347"/>
      <c r="AH8" s="347"/>
      <c r="AI8" s="339"/>
      <c r="AL8" s="339"/>
      <c r="AM8" s="347"/>
      <c r="AN8" s="167" t="s">
        <v>17</v>
      </c>
      <c r="AO8" s="339"/>
      <c r="AP8" s="339"/>
      <c r="AQ8" s="339"/>
      <c r="AR8" s="339"/>
      <c r="AS8" s="339"/>
      <c r="AT8" s="167" t="s">
        <v>24</v>
      </c>
      <c r="AU8" s="347"/>
      <c r="AV8" s="336"/>
      <c r="AW8" s="347"/>
      <c r="AX8" s="349"/>
      <c r="AY8" s="350"/>
      <c r="AZ8" s="347"/>
      <c r="BA8" s="347"/>
      <c r="BB8" s="347"/>
      <c r="BC8" s="347"/>
      <c r="BD8" s="347"/>
      <c r="BE8" s="167" t="s">
        <v>17</v>
      </c>
      <c r="BF8" s="339"/>
      <c r="BG8" s="198"/>
      <c r="BH8" s="167"/>
      <c r="BI8" s="167"/>
      <c r="BJ8" s="339"/>
      <c r="BK8" s="339"/>
      <c r="BL8" s="339"/>
      <c r="BN8" s="339"/>
      <c r="BO8" s="339"/>
      <c r="BP8" s="339"/>
      <c r="BQ8" s="339"/>
      <c r="BR8" s="339"/>
      <c r="BS8" s="339"/>
      <c r="BT8" s="167" t="s">
        <v>17</v>
      </c>
      <c r="BU8" s="339"/>
      <c r="BV8" s="198"/>
      <c r="BW8" s="167"/>
      <c r="BX8" s="167"/>
      <c r="BY8" s="339"/>
      <c r="BZ8" s="339"/>
      <c r="CA8" s="339"/>
      <c r="CB8" s="339"/>
      <c r="CC8" s="339"/>
      <c r="CD8" s="339"/>
      <c r="CE8" s="339"/>
      <c r="CF8" s="339"/>
      <c r="CG8" s="167" t="s">
        <v>17</v>
      </c>
      <c r="DA8" s="351"/>
      <c r="DB8" s="351"/>
    </row>
    <row r="9" spans="1:106">
      <c r="A9" s="185"/>
      <c r="E9" s="185"/>
      <c r="G9" s="339"/>
      <c r="H9" s="339"/>
      <c r="L9" s="339"/>
      <c r="M9" s="167" t="s">
        <v>20</v>
      </c>
      <c r="N9" s="167" t="s">
        <v>23</v>
      </c>
      <c r="O9" s="198" t="s">
        <v>23</v>
      </c>
      <c r="P9" s="352" t="s">
        <v>21</v>
      </c>
      <c r="Q9" s="352" t="s">
        <v>21</v>
      </c>
      <c r="R9" s="353" t="s">
        <v>20</v>
      </c>
      <c r="S9" s="354" t="s">
        <v>97</v>
      </c>
      <c r="T9" s="167" t="s">
        <v>31</v>
      </c>
      <c r="U9" s="353" t="s">
        <v>20</v>
      </c>
      <c r="V9" s="167"/>
      <c r="W9" s="354" t="s">
        <v>96</v>
      </c>
      <c r="X9" s="339"/>
      <c r="Y9" s="336" t="s">
        <v>35</v>
      </c>
      <c r="Z9" s="167"/>
      <c r="AA9" s="167" t="s">
        <v>20</v>
      </c>
      <c r="AB9" s="167" t="s">
        <v>14</v>
      </c>
      <c r="AC9" s="339"/>
      <c r="AD9" s="339"/>
      <c r="AE9" s="339"/>
      <c r="AF9" s="354" t="s">
        <v>20</v>
      </c>
      <c r="AG9" s="353" t="s">
        <v>20</v>
      </c>
      <c r="AH9" s="354" t="s">
        <v>17</v>
      </c>
      <c r="AI9" s="339"/>
      <c r="AJ9" s="336" t="s">
        <v>35</v>
      </c>
      <c r="AK9" s="167"/>
      <c r="AL9" s="167" t="s">
        <v>22</v>
      </c>
      <c r="AM9" s="339"/>
      <c r="AN9" s="167" t="s">
        <v>14</v>
      </c>
      <c r="AO9" s="339"/>
      <c r="AP9" s="339"/>
      <c r="AQ9" s="339"/>
      <c r="AR9" s="354" t="s">
        <v>20</v>
      </c>
      <c r="AS9" s="167" t="s">
        <v>20</v>
      </c>
      <c r="AT9" s="167" t="s">
        <v>36</v>
      </c>
      <c r="AU9" s="167" t="s">
        <v>24</v>
      </c>
      <c r="AV9" s="352" t="s">
        <v>37</v>
      </c>
      <c r="AW9" s="352" t="s">
        <v>37</v>
      </c>
      <c r="AX9" s="349"/>
      <c r="AY9" s="355"/>
      <c r="AZ9" s="167" t="s">
        <v>17</v>
      </c>
      <c r="BA9" s="339"/>
      <c r="BB9" s="167" t="s">
        <v>22</v>
      </c>
      <c r="BC9" s="167" t="s">
        <v>39</v>
      </c>
      <c r="BD9" s="198" t="s">
        <v>17</v>
      </c>
      <c r="BE9" s="167" t="s">
        <v>14</v>
      </c>
      <c r="BF9" s="339"/>
      <c r="BG9" s="198"/>
      <c r="BH9" s="167"/>
      <c r="BI9" s="167"/>
      <c r="BJ9" s="167" t="s">
        <v>20</v>
      </c>
      <c r="BK9" s="339"/>
      <c r="BL9" s="167" t="s">
        <v>23</v>
      </c>
      <c r="BM9" s="336" t="s">
        <v>24</v>
      </c>
      <c r="BN9" s="198" t="s">
        <v>24</v>
      </c>
      <c r="BO9" s="198"/>
      <c r="BP9" s="167" t="s">
        <v>20</v>
      </c>
      <c r="BQ9" s="339"/>
      <c r="BR9" s="167" t="s">
        <v>26</v>
      </c>
      <c r="BS9" s="198"/>
      <c r="BT9" s="167" t="s">
        <v>14</v>
      </c>
      <c r="BU9" s="339"/>
      <c r="BV9" s="198"/>
      <c r="BW9" s="167"/>
      <c r="BX9" s="167" t="s">
        <v>20</v>
      </c>
      <c r="BY9" s="167" t="s">
        <v>20</v>
      </c>
      <c r="BZ9" s="167" t="s">
        <v>24</v>
      </c>
      <c r="CA9" s="167" t="s">
        <v>20</v>
      </c>
      <c r="CB9" s="339"/>
      <c r="CC9" s="167" t="s">
        <v>22</v>
      </c>
      <c r="CD9" s="167" t="s">
        <v>39</v>
      </c>
      <c r="CE9" s="167"/>
      <c r="CF9" s="198"/>
      <c r="CG9" s="167" t="s">
        <v>14</v>
      </c>
    </row>
    <row r="10" spans="1:106">
      <c r="A10" s="185" t="s">
        <v>104</v>
      </c>
      <c r="C10" s="356">
        <f>+'Gas Input Table Summary'!$D$7</f>
        <v>5.9719999999999995</v>
      </c>
      <c r="D10" s="357"/>
      <c r="E10" s="185" t="s">
        <v>16</v>
      </c>
      <c r="G10" s="339"/>
      <c r="H10" s="339"/>
      <c r="J10" s="358"/>
      <c r="L10" s="339"/>
      <c r="M10" s="167" t="s">
        <v>28</v>
      </c>
      <c r="N10" s="167" t="s">
        <v>29</v>
      </c>
      <c r="O10" s="198" t="s">
        <v>29</v>
      </c>
      <c r="P10" s="352" t="s">
        <v>30</v>
      </c>
      <c r="Q10" s="352" t="s">
        <v>30</v>
      </c>
      <c r="R10" s="353" t="s">
        <v>36</v>
      </c>
      <c r="S10" s="167" t="s">
        <v>31</v>
      </c>
      <c r="T10" s="167" t="s">
        <v>38</v>
      </c>
      <c r="U10" s="353" t="s">
        <v>31</v>
      </c>
      <c r="V10" s="167" t="s">
        <v>20</v>
      </c>
      <c r="W10" s="167" t="s">
        <v>118</v>
      </c>
      <c r="X10" s="167" t="s">
        <v>92</v>
      </c>
      <c r="Y10" s="336" t="s">
        <v>144</v>
      </c>
      <c r="Z10" s="167" t="s">
        <v>117</v>
      </c>
      <c r="AA10" s="167" t="s">
        <v>35</v>
      </c>
      <c r="AB10" s="167" t="s">
        <v>34</v>
      </c>
      <c r="AC10" s="339"/>
      <c r="AD10" s="339"/>
      <c r="AE10" s="339"/>
      <c r="AF10" s="354" t="s">
        <v>36</v>
      </c>
      <c r="AG10" s="353" t="s">
        <v>31</v>
      </c>
      <c r="AH10" s="354" t="s">
        <v>20</v>
      </c>
      <c r="AI10" s="339"/>
      <c r="AJ10" s="336" t="s">
        <v>144</v>
      </c>
      <c r="AK10" s="167" t="s">
        <v>117</v>
      </c>
      <c r="AL10" s="167" t="s">
        <v>35</v>
      </c>
      <c r="AM10" s="339"/>
      <c r="AN10" s="167" t="s">
        <v>34</v>
      </c>
      <c r="AO10" s="339"/>
      <c r="AP10" s="339"/>
      <c r="AQ10" s="339"/>
      <c r="AR10" s="167" t="s">
        <v>28</v>
      </c>
      <c r="AS10" s="167" t="s">
        <v>131</v>
      </c>
      <c r="AT10" s="167" t="s">
        <v>38</v>
      </c>
      <c r="AU10" s="167" t="s">
        <v>36</v>
      </c>
      <c r="AV10" s="198" t="s">
        <v>99</v>
      </c>
      <c r="AW10" s="359" t="s">
        <v>99</v>
      </c>
      <c r="AX10" s="349"/>
      <c r="AY10" s="360"/>
      <c r="AZ10" s="167" t="s">
        <v>20</v>
      </c>
      <c r="BA10" s="339"/>
      <c r="BB10" s="167" t="s">
        <v>35</v>
      </c>
      <c r="BC10" s="354" t="s">
        <v>100</v>
      </c>
      <c r="BD10" s="198" t="s">
        <v>20</v>
      </c>
      <c r="BE10" s="167" t="s">
        <v>34</v>
      </c>
      <c r="BF10" s="339"/>
      <c r="BG10" s="198"/>
      <c r="BH10" s="167"/>
      <c r="BI10" s="167" t="s">
        <v>25</v>
      </c>
      <c r="BJ10" s="167" t="s">
        <v>28</v>
      </c>
      <c r="BK10" s="167" t="s">
        <v>32</v>
      </c>
      <c r="BL10" s="167" t="s">
        <v>33</v>
      </c>
      <c r="BM10" s="336" t="s">
        <v>136</v>
      </c>
      <c r="BN10" s="167" t="s">
        <v>36</v>
      </c>
      <c r="BO10" s="167"/>
      <c r="BP10" s="167" t="s">
        <v>17</v>
      </c>
      <c r="BQ10" s="339"/>
      <c r="BR10" s="167" t="s">
        <v>112</v>
      </c>
      <c r="BS10" s="167"/>
      <c r="BT10" s="167" t="s">
        <v>34</v>
      </c>
      <c r="BU10" s="339"/>
      <c r="BV10" s="198"/>
      <c r="BW10" s="167"/>
      <c r="BX10" s="167" t="s">
        <v>28</v>
      </c>
      <c r="BY10" s="167" t="s">
        <v>31</v>
      </c>
      <c r="BZ10" s="167" t="s">
        <v>36</v>
      </c>
      <c r="CA10" s="167" t="s">
        <v>17</v>
      </c>
      <c r="CB10" s="339"/>
      <c r="CC10" s="167" t="s">
        <v>35</v>
      </c>
      <c r="CD10" s="354" t="s">
        <v>100</v>
      </c>
      <c r="CE10" s="167" t="s">
        <v>20</v>
      </c>
      <c r="CF10" s="167"/>
      <c r="CG10" s="167" t="s">
        <v>34</v>
      </c>
    </row>
    <row r="11" spans="1:106">
      <c r="A11" s="185" t="s">
        <v>18</v>
      </c>
      <c r="C11" s="361">
        <f>+'Gas Input Table Summary'!$D$8</f>
        <v>3.5000000000000003E-2</v>
      </c>
      <c r="E11" s="185" t="s">
        <v>19</v>
      </c>
      <c r="F11" s="195">
        <f>+'Total Program Inputs'!K14</f>
        <v>226</v>
      </c>
      <c r="G11" s="538"/>
      <c r="H11" s="538"/>
      <c r="J11" s="337" t="s">
        <v>42</v>
      </c>
      <c r="L11" s="339"/>
      <c r="M11" s="167" t="s">
        <v>44</v>
      </c>
      <c r="N11" s="198" t="s">
        <v>107</v>
      </c>
      <c r="O11" s="198" t="s">
        <v>38</v>
      </c>
      <c r="P11" s="352" t="s">
        <v>107</v>
      </c>
      <c r="Q11" s="352" t="s">
        <v>38</v>
      </c>
      <c r="R11" s="353" t="s">
        <v>38</v>
      </c>
      <c r="S11" s="167" t="s">
        <v>44</v>
      </c>
      <c r="T11" s="198" t="s">
        <v>95</v>
      </c>
      <c r="U11" s="353" t="s">
        <v>38</v>
      </c>
      <c r="V11" s="167" t="s">
        <v>38</v>
      </c>
      <c r="W11" s="167" t="s">
        <v>119</v>
      </c>
      <c r="X11" s="167" t="s">
        <v>93</v>
      </c>
      <c r="Y11" s="336" t="s">
        <v>15</v>
      </c>
      <c r="Z11" s="167" t="s">
        <v>15</v>
      </c>
      <c r="AA11" s="167" t="s">
        <v>15</v>
      </c>
      <c r="AB11" s="167" t="s">
        <v>15</v>
      </c>
      <c r="AC11" s="339"/>
      <c r="AD11" s="339"/>
      <c r="AF11" s="167" t="s">
        <v>38</v>
      </c>
      <c r="AG11" s="353" t="s">
        <v>38</v>
      </c>
      <c r="AH11" s="353" t="s">
        <v>38</v>
      </c>
      <c r="AI11" s="339"/>
      <c r="AJ11" s="336" t="s">
        <v>15</v>
      </c>
      <c r="AK11" s="167" t="s">
        <v>15</v>
      </c>
      <c r="AL11" s="167" t="s">
        <v>15</v>
      </c>
      <c r="AM11" s="339"/>
      <c r="AN11" s="167" t="s">
        <v>15</v>
      </c>
      <c r="AO11" s="339"/>
      <c r="AP11" s="339"/>
      <c r="AR11" s="167" t="s">
        <v>38</v>
      </c>
      <c r="AS11" s="167" t="s">
        <v>38</v>
      </c>
      <c r="AT11" s="336" t="s">
        <v>133</v>
      </c>
      <c r="AU11" s="167" t="s">
        <v>38</v>
      </c>
      <c r="AV11" s="362" t="s">
        <v>132</v>
      </c>
      <c r="AW11" s="362" t="s">
        <v>38</v>
      </c>
      <c r="AX11" s="349"/>
      <c r="AY11" s="360"/>
      <c r="AZ11" s="354" t="s">
        <v>38</v>
      </c>
      <c r="BA11" s="339"/>
      <c r="BB11" s="167" t="s">
        <v>15</v>
      </c>
      <c r="BC11" s="363" t="s">
        <v>101</v>
      </c>
      <c r="BD11" s="359" t="s">
        <v>15</v>
      </c>
      <c r="BE11" s="167" t="s">
        <v>15</v>
      </c>
      <c r="BF11" s="339"/>
      <c r="BH11" s="167"/>
      <c r="BI11" s="167" t="s">
        <v>46</v>
      </c>
      <c r="BJ11" s="167" t="s">
        <v>44</v>
      </c>
      <c r="BK11" s="167" t="s">
        <v>45</v>
      </c>
      <c r="BL11" s="167" t="s">
        <v>38</v>
      </c>
      <c r="BM11" s="336" t="s">
        <v>0</v>
      </c>
      <c r="BN11" s="167" t="s">
        <v>38</v>
      </c>
      <c r="BO11" s="167"/>
      <c r="BP11" s="167" t="s">
        <v>14</v>
      </c>
      <c r="BQ11" s="339"/>
      <c r="BR11" s="167" t="s">
        <v>15</v>
      </c>
      <c r="BS11" s="167"/>
      <c r="BT11" s="167" t="s">
        <v>15</v>
      </c>
      <c r="BU11" s="339"/>
      <c r="BW11" s="167"/>
      <c r="BX11" s="167" t="s">
        <v>38</v>
      </c>
      <c r="BY11" s="167" t="s">
        <v>38</v>
      </c>
      <c r="BZ11" s="167" t="s">
        <v>38</v>
      </c>
      <c r="CA11" s="167" t="s">
        <v>14</v>
      </c>
      <c r="CB11" s="339"/>
      <c r="CC11" s="167" t="s">
        <v>15</v>
      </c>
      <c r="CD11" s="363" t="s">
        <v>101</v>
      </c>
      <c r="CE11" s="167" t="s">
        <v>15</v>
      </c>
      <c r="CF11" s="167"/>
      <c r="CG11" s="167" t="s">
        <v>15</v>
      </c>
    </row>
    <row r="12" spans="1:106">
      <c r="A12" s="185"/>
      <c r="C12" s="361"/>
      <c r="E12" s="185" t="s">
        <v>27</v>
      </c>
      <c r="F12" s="320">
        <f>+'Total Program Inputs'!G14</f>
        <v>3040</v>
      </c>
      <c r="G12" s="540"/>
      <c r="H12" s="540"/>
      <c r="J12" s="333"/>
      <c r="L12" s="184" t="s">
        <v>43</v>
      </c>
      <c r="M12" s="170" t="s">
        <v>48</v>
      </c>
      <c r="N12" s="170" t="s">
        <v>49</v>
      </c>
      <c r="O12" s="170" t="s">
        <v>50</v>
      </c>
      <c r="P12" s="170" t="s">
        <v>51</v>
      </c>
      <c r="Q12" s="170" t="s">
        <v>52</v>
      </c>
      <c r="R12" s="170" t="s">
        <v>53</v>
      </c>
      <c r="S12" s="170" t="s">
        <v>54</v>
      </c>
      <c r="T12" s="170" t="s">
        <v>55</v>
      </c>
      <c r="U12" s="170" t="s">
        <v>56</v>
      </c>
      <c r="V12" s="170" t="s">
        <v>57</v>
      </c>
      <c r="W12" s="170" t="s">
        <v>58</v>
      </c>
      <c r="X12" s="170" t="s">
        <v>59</v>
      </c>
      <c r="Y12" s="170" t="s">
        <v>60</v>
      </c>
      <c r="Z12" s="170" t="s">
        <v>61</v>
      </c>
      <c r="AA12" s="170" t="s">
        <v>137</v>
      </c>
      <c r="AB12" s="170" t="s">
        <v>145</v>
      </c>
      <c r="AE12" s="184" t="s">
        <v>43</v>
      </c>
      <c r="AF12" s="170" t="s">
        <v>48</v>
      </c>
      <c r="AG12" s="170" t="s">
        <v>49</v>
      </c>
      <c r="AH12" s="170" t="s">
        <v>50</v>
      </c>
      <c r="AJ12" s="170" t="s">
        <v>51</v>
      </c>
      <c r="AK12" s="170" t="s">
        <v>52</v>
      </c>
      <c r="AL12" s="170" t="s">
        <v>53</v>
      </c>
      <c r="AN12" s="170" t="s">
        <v>54</v>
      </c>
      <c r="AQ12" s="184" t="s">
        <v>43</v>
      </c>
      <c r="AR12" s="170" t="s">
        <v>48</v>
      </c>
      <c r="AS12" s="170" t="s">
        <v>49</v>
      </c>
      <c r="AT12" s="170" t="s">
        <v>50</v>
      </c>
      <c r="AU12" s="170" t="s">
        <v>51</v>
      </c>
      <c r="AV12" s="170" t="s">
        <v>52</v>
      </c>
      <c r="AW12" s="170" t="s">
        <v>53</v>
      </c>
      <c r="AX12" s="364"/>
      <c r="AY12" s="364"/>
      <c r="AZ12" s="170" t="s">
        <v>54</v>
      </c>
      <c r="BA12" s="339"/>
      <c r="BB12" s="170" t="s">
        <v>55</v>
      </c>
      <c r="BC12" s="170" t="s">
        <v>56</v>
      </c>
      <c r="BD12" s="170" t="s">
        <v>57</v>
      </c>
      <c r="BE12" s="170" t="s">
        <v>58</v>
      </c>
      <c r="BH12" s="184" t="s">
        <v>43</v>
      </c>
      <c r="BI12" s="170" t="s">
        <v>48</v>
      </c>
      <c r="BJ12" s="170" t="s">
        <v>49</v>
      </c>
      <c r="BK12" s="170" t="s">
        <v>50</v>
      </c>
      <c r="BL12" s="170" t="s">
        <v>51</v>
      </c>
      <c r="BM12" s="170" t="s">
        <v>52</v>
      </c>
      <c r="BN12" s="170" t="s">
        <v>53</v>
      </c>
      <c r="BO12" s="170"/>
      <c r="BP12" s="170" t="s">
        <v>54</v>
      </c>
      <c r="BR12" s="170" t="s">
        <v>55</v>
      </c>
      <c r="BS12" s="198"/>
      <c r="BT12" s="170" t="s">
        <v>56</v>
      </c>
      <c r="BW12" s="184" t="s">
        <v>43</v>
      </c>
      <c r="BX12" s="170" t="s">
        <v>48</v>
      </c>
      <c r="BY12" s="170" t="s">
        <v>49</v>
      </c>
      <c r="BZ12" s="170" t="s">
        <v>50</v>
      </c>
      <c r="CA12" s="170" t="s">
        <v>51</v>
      </c>
      <c r="CC12" s="170" t="s">
        <v>52</v>
      </c>
      <c r="CD12" s="170" t="s">
        <v>53</v>
      </c>
      <c r="CE12" s="170" t="s">
        <v>54</v>
      </c>
      <c r="CF12" s="198"/>
      <c r="CG12" s="170" t="s">
        <v>55</v>
      </c>
    </row>
    <row r="13" spans="1:106">
      <c r="A13" s="185" t="s">
        <v>40</v>
      </c>
      <c r="C13" s="365">
        <f>+'Gas Input Table Summary'!$D$9</f>
        <v>0.14205999999999999</v>
      </c>
      <c r="E13" s="185" t="s">
        <v>41</v>
      </c>
      <c r="F13" s="357">
        <f>SUM(F11:F12)</f>
        <v>3266</v>
      </c>
      <c r="G13" s="374"/>
      <c r="H13" s="374"/>
      <c r="J13" s="366"/>
      <c r="L13" s="366"/>
      <c r="M13" s="366"/>
      <c r="N13" s="366"/>
      <c r="Q13" s="366"/>
      <c r="R13" s="321"/>
      <c r="S13" s="366"/>
      <c r="T13" s="366"/>
      <c r="V13" s="167"/>
      <c r="W13" s="366"/>
      <c r="X13" s="366"/>
      <c r="Z13" s="366"/>
      <c r="AA13" s="366"/>
      <c r="AB13" s="366"/>
      <c r="AE13" s="366"/>
      <c r="AF13" s="366"/>
      <c r="AH13" s="366"/>
      <c r="AL13" s="366"/>
      <c r="AN13" s="366"/>
      <c r="AQ13" s="366"/>
      <c r="AR13" s="366"/>
      <c r="AS13" s="366"/>
      <c r="AU13" s="366"/>
      <c r="AW13" s="334"/>
      <c r="AX13" s="274"/>
      <c r="AY13" s="367"/>
      <c r="AZ13" s="366"/>
      <c r="BB13" s="366"/>
      <c r="BC13" s="366"/>
      <c r="BD13" s="366"/>
      <c r="BE13" s="366"/>
      <c r="BH13" s="366"/>
      <c r="BI13" s="366"/>
      <c r="BJ13" s="366"/>
      <c r="BK13" s="366"/>
      <c r="BL13" s="366"/>
      <c r="BN13" s="366"/>
      <c r="BO13" s="366"/>
      <c r="BP13" s="366"/>
      <c r="BR13" s="366"/>
      <c r="BS13" s="366"/>
      <c r="BT13" s="366"/>
      <c r="BW13" s="366"/>
      <c r="BX13" s="366"/>
      <c r="BY13" s="366"/>
      <c r="BZ13" s="366"/>
      <c r="CA13" s="366"/>
      <c r="CC13" s="366"/>
      <c r="CD13" s="366"/>
      <c r="CE13" s="366"/>
      <c r="CF13" s="366"/>
      <c r="CG13" s="366"/>
    </row>
    <row r="14" spans="1:106">
      <c r="A14" s="185" t="s">
        <v>47</v>
      </c>
      <c r="C14" s="361">
        <f>+'Gas Input Table Summary'!$D$10</f>
        <v>3.5000000000000003E-2</v>
      </c>
      <c r="F14" s="368"/>
      <c r="G14" s="368"/>
      <c r="H14" s="368"/>
      <c r="J14" s="333">
        <f>$C$47-$C$45</f>
        <v>1</v>
      </c>
      <c r="L14" s="366">
        <f>$C$47</f>
        <v>2015</v>
      </c>
      <c r="M14" s="369">
        <f>ROUND(IF($C$47+$F$23&gt;L14,F25*F30,0),0)</f>
        <v>441</v>
      </c>
      <c r="N14" s="370">
        <f>ROUND($C$17*(1),3)</f>
        <v>2.577</v>
      </c>
      <c r="O14" s="357">
        <f t="shared" ref="O14:O34" si="0">ROUND(M14*N14,0)</f>
        <v>1136</v>
      </c>
      <c r="P14" s="370">
        <f t="shared" ref="P14:P34" si="1">ROUND($C$25*(1+$C$26)^J14,3)</f>
        <v>0</v>
      </c>
      <c r="Q14" s="357">
        <f>ROUND(M14*P14,0)</f>
        <v>0</v>
      </c>
      <c r="R14" s="371">
        <f t="shared" ref="R14:R34" si="2">O14+Q14</f>
        <v>1136</v>
      </c>
      <c r="S14" s="372">
        <f t="shared" ref="S14:S34" si="3">ROUND(M14*$C$23,1)</f>
        <v>4.4000000000000004</v>
      </c>
      <c r="T14" s="357">
        <f>ROUND($C$20*(1),0)</f>
        <v>142</v>
      </c>
      <c r="U14" s="373">
        <f>ROUND(S14*T14,0)</f>
        <v>625</v>
      </c>
      <c r="V14" s="374">
        <f>ROUND(+U14+R14,0)</f>
        <v>1761</v>
      </c>
      <c r="W14" s="375">
        <f t="shared" ref="W14:W34" si="4">ROUND($H$36*(1+$C$11)^J14,3)</f>
        <v>1.8049999999999999</v>
      </c>
      <c r="X14" s="376">
        <f t="shared" ref="X14:X34" si="5">ROUND((1-$H$38)*(W14*M14),0)</f>
        <v>517</v>
      </c>
      <c r="Y14" s="377">
        <f>ROUND($F$11,0)</f>
        <v>226</v>
      </c>
      <c r="Z14" s="377">
        <f>ROUND($F$12,0)</f>
        <v>3040</v>
      </c>
      <c r="AA14" s="377">
        <f t="shared" ref="AA14:AA34" si="6">SUM(X14:Z14)</f>
        <v>3783</v>
      </c>
      <c r="AB14" s="357">
        <f t="shared" ref="AB14:AB34" si="7">V14-AA14</f>
        <v>-2022</v>
      </c>
      <c r="AE14" s="366">
        <f>$C$47</f>
        <v>2015</v>
      </c>
      <c r="AF14" s="357">
        <f t="shared" ref="AF14:AF34" si="8">+R14</f>
        <v>1136</v>
      </c>
      <c r="AG14" s="378">
        <f t="shared" ref="AG14:AG34" si="9">+U14</f>
        <v>625</v>
      </c>
      <c r="AH14" s="377">
        <f>+AG14+AF14</f>
        <v>1761</v>
      </c>
      <c r="AJ14" s="378">
        <f>ROUND(Y14,0)</f>
        <v>226</v>
      </c>
      <c r="AK14" s="378">
        <f>ROUND(Z14,0)</f>
        <v>3040</v>
      </c>
      <c r="AL14" s="357">
        <f t="shared" ref="AL14:AL34" si="10">SUM(AJ14:AK14)</f>
        <v>3266</v>
      </c>
      <c r="AN14" s="357">
        <f t="shared" ref="AN14:AN34" si="11">+AH14-AL14</f>
        <v>-1505</v>
      </c>
      <c r="AQ14" s="366">
        <f>$C$47</f>
        <v>2015</v>
      </c>
      <c r="AR14" s="357">
        <f t="shared" ref="AR14:AR34" si="12">AF14</f>
        <v>1136</v>
      </c>
      <c r="AS14" s="357">
        <f t="shared" ref="AS14:AS34" si="13">+AG14</f>
        <v>625</v>
      </c>
      <c r="AT14" s="379">
        <f t="shared" ref="AT14:AT34" si="14">ROUND(($C$28/(1-$C$31))*(1+$C$29)^J14,3)</f>
        <v>2.4E-2</v>
      </c>
      <c r="AU14" s="380">
        <f>ROUND(IF($C$47+$F$23&gt;$AQ14,$F$30*$F$27,0)*AT14,0)</f>
        <v>0</v>
      </c>
      <c r="AV14" s="370">
        <f t="shared" ref="AV14:AV34" si="15">ROUND($C$33*(1+$C$34)^J14,3)</f>
        <v>0.35799999999999998</v>
      </c>
      <c r="AW14" s="357">
        <f t="shared" ref="AW14:AW34" si="16">ROUND(AV14*M14,0)</f>
        <v>158</v>
      </c>
      <c r="AX14" s="379"/>
      <c r="AY14" s="380"/>
      <c r="AZ14" s="357">
        <f>ROUND(AR14+AS14+AU14+AW14+AY14,0)</f>
        <v>1919</v>
      </c>
      <c r="BA14" s="381"/>
      <c r="BB14" s="377">
        <f>ROUND($F$13,0)</f>
        <v>3266</v>
      </c>
      <c r="BC14" s="377">
        <f>ROUND((F15*F30)-Z14,0)</f>
        <v>6080</v>
      </c>
      <c r="BD14" s="382">
        <f>BB14+BC14</f>
        <v>9346</v>
      </c>
      <c r="BE14" s="377">
        <f t="shared" ref="BE14:BE34" si="17">AZ14-BD14</f>
        <v>-7427</v>
      </c>
      <c r="BH14" s="366">
        <f>$C$47</f>
        <v>2015</v>
      </c>
      <c r="BI14" s="357">
        <f>+F12</f>
        <v>3040</v>
      </c>
      <c r="BJ14" s="369">
        <f t="shared" ref="BJ14:BJ34" si="18">+M14</f>
        <v>441</v>
      </c>
      <c r="BK14" s="383">
        <f t="shared" ref="BK14:BK34" si="19">ROUND($C$10*(1+$C$11)^J14,3)</f>
        <v>6.181</v>
      </c>
      <c r="BL14" s="357">
        <f>ROUND(BJ14*BK14,0)</f>
        <v>2726</v>
      </c>
      <c r="BM14" s="383">
        <f t="shared" ref="BM14:BM34" si="20">ROUND($C$13*(1+$C$14)^J14,3)</f>
        <v>0.14699999999999999</v>
      </c>
      <c r="BN14" s="380">
        <f>ROUND(IF($C$47+$F$23&gt;$BH14,$F$30*$F$27,0)*BM14,0)</f>
        <v>0</v>
      </c>
      <c r="BO14" s="380"/>
      <c r="BP14" s="357">
        <f t="shared" ref="BP14:BP34" si="21">BI14+BL14+BN14+BO14</f>
        <v>5766</v>
      </c>
      <c r="BR14" s="357">
        <f>ROUND(F15*F30,0)</f>
        <v>9120</v>
      </c>
      <c r="BS14" s="357"/>
      <c r="BT14" s="357">
        <f>BP14-BR14</f>
        <v>-3354</v>
      </c>
      <c r="BW14" s="366">
        <f>$C$47</f>
        <v>2015</v>
      </c>
      <c r="BX14" s="357">
        <f t="shared" ref="BX14:BX34" si="22">$R14</f>
        <v>1136</v>
      </c>
      <c r="BY14" s="357">
        <f>U14</f>
        <v>625</v>
      </c>
      <c r="BZ14" s="384">
        <f>AU14</f>
        <v>0</v>
      </c>
      <c r="CA14" s="357">
        <f>SUM(BX14:BZ14)</f>
        <v>1761</v>
      </c>
      <c r="CC14" s="357">
        <f>BB14</f>
        <v>3266</v>
      </c>
      <c r="CD14" s="357">
        <f>BC14</f>
        <v>6080</v>
      </c>
      <c r="CE14" s="357">
        <f>SUM(CC14:CD14)</f>
        <v>9346</v>
      </c>
      <c r="CF14" s="357"/>
      <c r="CG14" s="357">
        <f>CA14-CE14</f>
        <v>-7585</v>
      </c>
    </row>
    <row r="15" spans="1:106">
      <c r="A15" s="185" t="s">
        <v>62</v>
      </c>
      <c r="C15" s="188" t="str">
        <f>+'Gas Input Table Summary'!$D$11</f>
        <v>Kwh</v>
      </c>
      <c r="E15" s="185" t="s">
        <v>63</v>
      </c>
      <c r="F15" s="385">
        <f>ROUND('Database Inputs'!K13,0)</f>
        <v>60</v>
      </c>
      <c r="G15" s="385"/>
      <c r="H15" s="385"/>
      <c r="J15" s="333">
        <f t="shared" ref="J15:J34" si="23">J14+1</f>
        <v>2</v>
      </c>
      <c r="L15" s="366">
        <f t="shared" ref="L15:L34" si="24">L14+1</f>
        <v>2016</v>
      </c>
      <c r="M15" s="386">
        <f>ROUND(IF($C$47+$F$23&gt;L15,$F$25*$F$30,0)+IF($C$48+$G$23&gt;L15,$G$25*$G$30,0),0)</f>
        <v>441</v>
      </c>
      <c r="N15" s="387">
        <f>ROUND($C$17*(1+$C$18)^J14,3)</f>
        <v>2.6669999999999998</v>
      </c>
      <c r="O15" s="388">
        <f t="shared" si="0"/>
        <v>1176</v>
      </c>
      <c r="P15" s="387">
        <f t="shared" si="1"/>
        <v>0</v>
      </c>
      <c r="Q15" s="389">
        <f t="shared" ref="Q15:Q34" si="25">ROUND(M15*P15,0)</f>
        <v>0</v>
      </c>
      <c r="R15" s="390">
        <f t="shared" si="2"/>
        <v>1176</v>
      </c>
      <c r="S15" s="372">
        <f t="shared" si="3"/>
        <v>4.4000000000000004</v>
      </c>
      <c r="T15" s="389">
        <f>ROUND($C$20*(1+$C$21)^J14,0)</f>
        <v>144</v>
      </c>
      <c r="U15" s="391">
        <f>ROUND(S15*T15,0)</f>
        <v>634</v>
      </c>
      <c r="V15" s="386">
        <f t="shared" ref="V15:V34" si="26">ROUND(+U15+R15,0)</f>
        <v>1810</v>
      </c>
      <c r="W15" s="392">
        <f t="shared" si="4"/>
        <v>1.8680000000000001</v>
      </c>
      <c r="X15" s="393">
        <f t="shared" si="5"/>
        <v>535</v>
      </c>
      <c r="Y15" s="393">
        <f>ROUND($G$11,0)</f>
        <v>0</v>
      </c>
      <c r="Z15" s="393">
        <f>ROUND($G$12,0)</f>
        <v>0</v>
      </c>
      <c r="AA15" s="389">
        <f t="shared" si="6"/>
        <v>535</v>
      </c>
      <c r="AB15" s="393">
        <f t="shared" si="7"/>
        <v>1275</v>
      </c>
      <c r="AE15" s="366">
        <f t="shared" ref="AE15:AE34" si="27">AE14+1</f>
        <v>2016</v>
      </c>
      <c r="AF15" s="393">
        <f t="shared" si="8"/>
        <v>1176</v>
      </c>
      <c r="AG15" s="368">
        <f t="shared" si="9"/>
        <v>634</v>
      </c>
      <c r="AH15" s="393">
        <f>+AG15+AF15</f>
        <v>1810</v>
      </c>
      <c r="AJ15" s="394">
        <f t="shared" ref="AJ15:AK34" si="28">ROUND(Y15,0)</f>
        <v>0</v>
      </c>
      <c r="AK15" s="394">
        <f t="shared" si="28"/>
        <v>0</v>
      </c>
      <c r="AL15" s="395">
        <f t="shared" si="10"/>
        <v>0</v>
      </c>
      <c r="AN15" s="396">
        <f t="shared" si="11"/>
        <v>1810</v>
      </c>
      <c r="AQ15" s="366">
        <f t="shared" ref="AQ15:AQ34" si="29">AQ14+1</f>
        <v>2016</v>
      </c>
      <c r="AR15" s="393">
        <f t="shared" si="12"/>
        <v>1176</v>
      </c>
      <c r="AS15" s="393">
        <f t="shared" si="13"/>
        <v>634</v>
      </c>
      <c r="AT15" s="397">
        <f t="shared" si="14"/>
        <v>2.5000000000000001E-2</v>
      </c>
      <c r="AU15" s="398">
        <f>ROUND((IF($C$47+$F$23&gt;$AQ15,$F$27*$F$30,0)+IF($C$48+$G$23&gt;AQ15,$G$27*$G$30,0))*AT15,0)</f>
        <v>0</v>
      </c>
      <c r="AV15" s="387">
        <f t="shared" si="15"/>
        <v>0.36599999999999999</v>
      </c>
      <c r="AW15" s="393">
        <f t="shared" si="16"/>
        <v>161</v>
      </c>
      <c r="AX15" s="397"/>
      <c r="AY15" s="399"/>
      <c r="AZ15" s="393">
        <f t="shared" ref="AZ15:AZ34" si="30">ROUND(AR15+AS15+AU15+AW15+AY15,0)</f>
        <v>1971</v>
      </c>
      <c r="BA15" s="381"/>
      <c r="BB15" s="393">
        <f>ROUND($G$13,0)</f>
        <v>0</v>
      </c>
      <c r="BC15" s="393">
        <f>ROUND(($G$15*$G$30)-$Z$15,0)</f>
        <v>0</v>
      </c>
      <c r="BD15" s="400">
        <f t="shared" ref="BD15:BD34" si="31">BB15+BC15</f>
        <v>0</v>
      </c>
      <c r="BE15" s="393">
        <f t="shared" si="17"/>
        <v>1971</v>
      </c>
      <c r="BH15" s="366">
        <f t="shared" ref="BH15:BH34" si="32">BH14+1</f>
        <v>2016</v>
      </c>
      <c r="BI15" s="393">
        <f>+G12</f>
        <v>0</v>
      </c>
      <c r="BJ15" s="369">
        <f t="shared" si="18"/>
        <v>441</v>
      </c>
      <c r="BK15" s="401">
        <f t="shared" si="19"/>
        <v>6.3970000000000002</v>
      </c>
      <c r="BL15" s="393">
        <f>ROUND(BJ15*BK15,0)</f>
        <v>2821</v>
      </c>
      <c r="BM15" s="401">
        <f t="shared" si="20"/>
        <v>0.152</v>
      </c>
      <c r="BN15" s="398">
        <f>ROUND((IF($C$47+$F$23&gt;BH15,$F$27*$F$30,0)+IF($C$48+$G$23&gt;BH15,$G$27*$G$30,0))*BM15,0)</f>
        <v>0</v>
      </c>
      <c r="BO15" s="402"/>
      <c r="BP15" s="393">
        <f t="shared" si="21"/>
        <v>2821</v>
      </c>
      <c r="BR15" s="393">
        <f>ROUND($G$15*$G$30,0)</f>
        <v>0</v>
      </c>
      <c r="BS15" s="393"/>
      <c r="BT15" s="393">
        <f t="shared" ref="BT15:BT34" si="33">BP15-BR15</f>
        <v>2821</v>
      </c>
      <c r="BW15" s="366">
        <f t="shared" ref="BW15:BW34" si="34">BW14+1</f>
        <v>2016</v>
      </c>
      <c r="BX15" s="393">
        <f t="shared" si="22"/>
        <v>1176</v>
      </c>
      <c r="BY15" s="369">
        <f t="shared" ref="BY15:BY34" si="35">U15</f>
        <v>634</v>
      </c>
      <c r="BZ15" s="403">
        <f t="shared" ref="BZ15:BZ34" si="36">AU15</f>
        <v>0</v>
      </c>
      <c r="CA15" s="393">
        <f t="shared" ref="CA15:CA34" si="37">SUM(BX15:BZ15)</f>
        <v>1810</v>
      </c>
      <c r="CC15" s="393">
        <f t="shared" ref="CC15:CD34" si="38">BB15</f>
        <v>0</v>
      </c>
      <c r="CD15" s="393">
        <f t="shared" si="38"/>
        <v>0</v>
      </c>
      <c r="CE15" s="393">
        <f t="shared" ref="CE15:CE34" si="39">SUM(CC15:CD15)</f>
        <v>0</v>
      </c>
      <c r="CF15" s="393"/>
      <c r="CG15" s="393">
        <f>CA15-CE15</f>
        <v>1810</v>
      </c>
    </row>
    <row r="16" spans="1:106">
      <c r="F16" s="369"/>
      <c r="G16" s="369"/>
      <c r="H16" s="369"/>
      <c r="J16" s="333">
        <f t="shared" si="23"/>
        <v>3</v>
      </c>
      <c r="L16" s="366">
        <f t="shared" si="24"/>
        <v>2017</v>
      </c>
      <c r="M16" s="386">
        <f>ROUND(IF($C$47+$F$23&gt;L16,$F$25*$F$30,0)+IF($C$48+$G$23&gt;L16,$G$25*$G$30,0)+IF($C$49+$H$23&gt;L16,$H$25*$H$30,0),0)</f>
        <v>441</v>
      </c>
      <c r="N16" s="387">
        <f t="shared" ref="N16:N34" si="40">ROUND($C$17*(1+$C$18)^J15,3)</f>
        <v>2.7610000000000001</v>
      </c>
      <c r="O16" s="388">
        <f t="shared" si="0"/>
        <v>1218</v>
      </c>
      <c r="P16" s="387">
        <f t="shared" si="1"/>
        <v>0</v>
      </c>
      <c r="Q16" s="389">
        <f t="shared" si="25"/>
        <v>0</v>
      </c>
      <c r="R16" s="390">
        <f t="shared" si="2"/>
        <v>1218</v>
      </c>
      <c r="S16" s="372">
        <f t="shared" si="3"/>
        <v>4.4000000000000004</v>
      </c>
      <c r="T16" s="389">
        <f t="shared" ref="T16:T34" si="41">ROUND($C$20*(1+$C$21)^J15,0)</f>
        <v>145</v>
      </c>
      <c r="U16" s="391">
        <f t="shared" ref="U16:U34" si="42">ROUND(S16*T16,0)</f>
        <v>638</v>
      </c>
      <c r="V16" s="386">
        <f t="shared" si="26"/>
        <v>1856</v>
      </c>
      <c r="W16" s="392">
        <f t="shared" si="4"/>
        <v>1.9339999999999999</v>
      </c>
      <c r="X16" s="393">
        <f t="shared" si="5"/>
        <v>554</v>
      </c>
      <c r="Y16" s="393">
        <f>ROUND($H$11,0)</f>
        <v>0</v>
      </c>
      <c r="Z16" s="393">
        <f>ROUND($H$12,0)</f>
        <v>0</v>
      </c>
      <c r="AA16" s="389">
        <f t="shared" si="6"/>
        <v>554</v>
      </c>
      <c r="AB16" s="393">
        <f t="shared" si="7"/>
        <v>1302</v>
      </c>
      <c r="AE16" s="366">
        <f t="shared" si="27"/>
        <v>2017</v>
      </c>
      <c r="AF16" s="393">
        <f t="shared" si="8"/>
        <v>1218</v>
      </c>
      <c r="AG16" s="368">
        <f t="shared" si="9"/>
        <v>638</v>
      </c>
      <c r="AH16" s="393">
        <f t="shared" ref="AH16:AH34" si="43">+AG16+AF16</f>
        <v>1856</v>
      </c>
      <c r="AJ16" s="394">
        <f t="shared" si="28"/>
        <v>0</v>
      </c>
      <c r="AK16" s="394">
        <f t="shared" si="28"/>
        <v>0</v>
      </c>
      <c r="AL16" s="395">
        <f t="shared" si="10"/>
        <v>0</v>
      </c>
      <c r="AN16" s="396">
        <f t="shared" si="11"/>
        <v>1856</v>
      </c>
      <c r="AQ16" s="366">
        <f t="shared" si="29"/>
        <v>2017</v>
      </c>
      <c r="AR16" s="393">
        <f t="shared" si="12"/>
        <v>1218</v>
      </c>
      <c r="AS16" s="393">
        <f t="shared" si="13"/>
        <v>638</v>
      </c>
      <c r="AT16" s="397">
        <f t="shared" si="14"/>
        <v>2.5000000000000001E-2</v>
      </c>
      <c r="AU16" s="398">
        <f>ROUND((IF($C$47+$F$23&gt;$AQ16,$F$27*$F$30,0)+IF($C$48+$G$23&gt;AQ16,$G$27*$G$30,0)+IF($C$49+$H$23&gt;AQ16,$H$27*$H$30,0))*AT16,0)</f>
        <v>0</v>
      </c>
      <c r="AV16" s="387">
        <f t="shared" si="15"/>
        <v>0.375</v>
      </c>
      <c r="AW16" s="393">
        <f t="shared" si="16"/>
        <v>165</v>
      </c>
      <c r="AX16" s="397"/>
      <c r="AY16" s="399"/>
      <c r="AZ16" s="393">
        <f t="shared" si="30"/>
        <v>2021</v>
      </c>
      <c r="BA16" s="381"/>
      <c r="BB16" s="393">
        <f>ROUND($H$13,0)</f>
        <v>0</v>
      </c>
      <c r="BC16" s="393">
        <f>ROUND(($H$15*$H$30)-$Z$16,0)</f>
        <v>0</v>
      </c>
      <c r="BD16" s="400">
        <f t="shared" si="31"/>
        <v>0</v>
      </c>
      <c r="BE16" s="393">
        <f t="shared" si="17"/>
        <v>2021</v>
      </c>
      <c r="BH16" s="366">
        <f t="shared" si="32"/>
        <v>2017</v>
      </c>
      <c r="BI16" s="393">
        <f>ROUND(H12,0)</f>
        <v>0</v>
      </c>
      <c r="BJ16" s="369">
        <f t="shared" si="18"/>
        <v>441</v>
      </c>
      <c r="BK16" s="401">
        <f t="shared" si="19"/>
        <v>6.6210000000000004</v>
      </c>
      <c r="BL16" s="393">
        <f t="shared" ref="BL16:BL34" si="44">ROUND(BJ16*BK16,0)</f>
        <v>2920</v>
      </c>
      <c r="BM16" s="401">
        <f t="shared" si="20"/>
        <v>0.158</v>
      </c>
      <c r="BN16" s="398">
        <f>ROUND((IF($C$47+$F$23&gt;BH16,$F$27*$F$30,0)+IF($C$49+$H$23&gt;BH16,$H$27*$H$30,0)+IF($C$48+$G$23&gt;BH16,$G$27*$G$30,0))*BM16,0)</f>
        <v>0</v>
      </c>
      <c r="BO16" s="402"/>
      <c r="BP16" s="393">
        <f t="shared" si="21"/>
        <v>2920</v>
      </c>
      <c r="BR16" s="393">
        <f>ROUND($H$15*$H$30,0)</f>
        <v>0</v>
      </c>
      <c r="BS16" s="393"/>
      <c r="BT16" s="393">
        <f t="shared" si="33"/>
        <v>2920</v>
      </c>
      <c r="BW16" s="366">
        <f t="shared" si="34"/>
        <v>2017</v>
      </c>
      <c r="BX16" s="393">
        <f t="shared" si="22"/>
        <v>1218</v>
      </c>
      <c r="BY16" s="369">
        <f t="shared" si="35"/>
        <v>638</v>
      </c>
      <c r="BZ16" s="403">
        <f t="shared" si="36"/>
        <v>0</v>
      </c>
      <c r="CA16" s="393">
        <f t="shared" si="37"/>
        <v>1856</v>
      </c>
      <c r="CC16" s="393">
        <f t="shared" si="38"/>
        <v>0</v>
      </c>
      <c r="CD16" s="393">
        <f t="shared" si="38"/>
        <v>0</v>
      </c>
      <c r="CE16" s="393">
        <f t="shared" si="39"/>
        <v>0</v>
      </c>
      <c r="CF16" s="393"/>
      <c r="CG16" s="393">
        <f t="shared" ref="CG16:CG34" si="45">CA16-CE16</f>
        <v>1856</v>
      </c>
    </row>
    <row r="17" spans="1:106">
      <c r="A17" s="185" t="s">
        <v>105</v>
      </c>
      <c r="C17" s="356">
        <f>+'Gas Input Table Summary'!$D$12</f>
        <v>2.577</v>
      </c>
      <c r="D17" s="404"/>
      <c r="E17" s="185" t="s">
        <v>64</v>
      </c>
      <c r="F17" s="195">
        <f>+'Gas Input Table Summary'!D35</f>
        <v>0</v>
      </c>
      <c r="G17" s="195"/>
      <c r="H17" s="195"/>
      <c r="J17" s="333">
        <f t="shared" si="23"/>
        <v>4</v>
      </c>
      <c r="L17" s="366">
        <f t="shared" si="24"/>
        <v>2018</v>
      </c>
      <c r="M17" s="386">
        <f t="shared" ref="M17:M34" si="46">ROUND(IF($C$47+$F$23&gt;L17,$F$25*$F$30,0)+IF($C$48+$G$23&gt;L17,$G$25*$G$30,0)+IF($C$49+$H$23&gt;L17,$H$25*$H$30,0),0)</f>
        <v>441</v>
      </c>
      <c r="N17" s="387">
        <f t="shared" si="40"/>
        <v>2.8570000000000002</v>
      </c>
      <c r="O17" s="388">
        <f t="shared" si="0"/>
        <v>1260</v>
      </c>
      <c r="P17" s="387">
        <f t="shared" si="1"/>
        <v>0</v>
      </c>
      <c r="Q17" s="389">
        <f t="shared" si="25"/>
        <v>0</v>
      </c>
      <c r="R17" s="390">
        <f t="shared" si="2"/>
        <v>1260</v>
      </c>
      <c r="S17" s="372">
        <f t="shared" si="3"/>
        <v>4.4000000000000004</v>
      </c>
      <c r="T17" s="389">
        <f t="shared" si="41"/>
        <v>147</v>
      </c>
      <c r="U17" s="391">
        <f t="shared" si="42"/>
        <v>647</v>
      </c>
      <c r="V17" s="386">
        <f t="shared" si="26"/>
        <v>1907</v>
      </c>
      <c r="W17" s="392">
        <f t="shared" si="4"/>
        <v>2.0009999999999999</v>
      </c>
      <c r="X17" s="393">
        <f t="shared" si="5"/>
        <v>574</v>
      </c>
      <c r="Y17" s="393">
        <v>0</v>
      </c>
      <c r="Z17" s="393">
        <v>0</v>
      </c>
      <c r="AA17" s="389">
        <f t="shared" si="6"/>
        <v>574</v>
      </c>
      <c r="AB17" s="393">
        <f t="shared" si="7"/>
        <v>1333</v>
      </c>
      <c r="AE17" s="366">
        <f t="shared" si="27"/>
        <v>2018</v>
      </c>
      <c r="AF17" s="393">
        <f t="shared" si="8"/>
        <v>1260</v>
      </c>
      <c r="AG17" s="368">
        <f t="shared" si="9"/>
        <v>647</v>
      </c>
      <c r="AH17" s="393">
        <f t="shared" si="43"/>
        <v>1907</v>
      </c>
      <c r="AJ17" s="394">
        <f t="shared" si="28"/>
        <v>0</v>
      </c>
      <c r="AK17" s="394">
        <f t="shared" si="28"/>
        <v>0</v>
      </c>
      <c r="AL17" s="395">
        <f t="shared" si="10"/>
        <v>0</v>
      </c>
      <c r="AN17" s="396">
        <f t="shared" si="11"/>
        <v>1907</v>
      </c>
      <c r="AQ17" s="366">
        <f t="shared" si="29"/>
        <v>2018</v>
      </c>
      <c r="AR17" s="393">
        <f t="shared" si="12"/>
        <v>1260</v>
      </c>
      <c r="AS17" s="393">
        <f t="shared" si="13"/>
        <v>647</v>
      </c>
      <c r="AT17" s="397">
        <f t="shared" si="14"/>
        <v>2.5999999999999999E-2</v>
      </c>
      <c r="AU17" s="398">
        <f t="shared" ref="AU17:AU34" si="47">ROUND((IF($C$47+$F$23&gt;$AQ17,$F$27*$F$30,0)+IF($C$48+$G$23&gt;AQ17,$G$27*$G$30,0)+IF($C$49+$H$23&gt;AQ17,$H$27*$H$30,0))*AT17,0)</f>
        <v>0</v>
      </c>
      <c r="AV17" s="387">
        <f t="shared" si="15"/>
        <v>0.38300000000000001</v>
      </c>
      <c r="AW17" s="393">
        <f t="shared" si="16"/>
        <v>169</v>
      </c>
      <c r="AX17" s="397"/>
      <c r="AY17" s="399"/>
      <c r="AZ17" s="393">
        <f t="shared" si="30"/>
        <v>2076</v>
      </c>
      <c r="BA17" s="381"/>
      <c r="BB17" s="393">
        <v>0</v>
      </c>
      <c r="BC17" s="393">
        <v>0</v>
      </c>
      <c r="BD17" s="400">
        <f t="shared" si="31"/>
        <v>0</v>
      </c>
      <c r="BE17" s="393">
        <f t="shared" si="17"/>
        <v>2076</v>
      </c>
      <c r="BH17" s="366">
        <f t="shared" si="32"/>
        <v>2018</v>
      </c>
      <c r="BI17" s="393">
        <v>0</v>
      </c>
      <c r="BJ17" s="369">
        <f t="shared" si="18"/>
        <v>441</v>
      </c>
      <c r="BK17" s="401">
        <f t="shared" si="19"/>
        <v>6.8529999999999998</v>
      </c>
      <c r="BL17" s="393">
        <f t="shared" si="44"/>
        <v>3022</v>
      </c>
      <c r="BM17" s="401">
        <f t="shared" si="20"/>
        <v>0.16300000000000001</v>
      </c>
      <c r="BN17" s="398">
        <f t="shared" ref="BN17:BN34" si="48">ROUND((IF($C$47+$F$23&gt;BH17,$F$27*$F$30,0)+IF($C$49+$H$23&gt;BH17,$H$27*$H$30,0)+IF($C$48+$G$23&gt;BH17,$G$27*$G$30,0))*BM17,0)</f>
        <v>0</v>
      </c>
      <c r="BO17" s="402"/>
      <c r="BP17" s="393">
        <f t="shared" si="21"/>
        <v>3022</v>
      </c>
      <c r="BR17" s="393">
        <f t="shared" ref="BR17:BR34" si="49">+BC17</f>
        <v>0</v>
      </c>
      <c r="BS17" s="393"/>
      <c r="BT17" s="393">
        <f t="shared" si="33"/>
        <v>3022</v>
      </c>
      <c r="BW17" s="366">
        <f t="shared" si="34"/>
        <v>2018</v>
      </c>
      <c r="BX17" s="393">
        <f t="shared" si="22"/>
        <v>1260</v>
      </c>
      <c r="BY17" s="369">
        <f t="shared" si="35"/>
        <v>647</v>
      </c>
      <c r="BZ17" s="403">
        <f t="shared" si="36"/>
        <v>0</v>
      </c>
      <c r="CA17" s="393">
        <f t="shared" si="37"/>
        <v>1907</v>
      </c>
      <c r="CC17" s="393">
        <f t="shared" si="38"/>
        <v>0</v>
      </c>
      <c r="CD17" s="393">
        <f t="shared" si="38"/>
        <v>0</v>
      </c>
      <c r="CE17" s="393">
        <f t="shared" si="39"/>
        <v>0</v>
      </c>
      <c r="CF17" s="393"/>
      <c r="CG17" s="393">
        <f t="shared" si="45"/>
        <v>1907</v>
      </c>
    </row>
    <row r="18" spans="1:106">
      <c r="A18" s="185" t="s">
        <v>18</v>
      </c>
      <c r="C18" s="358">
        <f>+'Gas Input Table Summary'!$D$13</f>
        <v>3.5000000000000003E-2</v>
      </c>
      <c r="E18" s="187" t="s">
        <v>65</v>
      </c>
      <c r="F18" s="405">
        <f>+'Gas Input Table Summary'!D38</f>
        <v>0</v>
      </c>
      <c r="G18" s="405"/>
      <c r="H18" s="405"/>
      <c r="J18" s="333">
        <f t="shared" si="23"/>
        <v>5</v>
      </c>
      <c r="L18" s="366">
        <f t="shared" si="24"/>
        <v>2019</v>
      </c>
      <c r="M18" s="386">
        <f t="shared" si="46"/>
        <v>441</v>
      </c>
      <c r="N18" s="387">
        <f t="shared" si="40"/>
        <v>2.9569999999999999</v>
      </c>
      <c r="O18" s="388">
        <f t="shared" si="0"/>
        <v>1304</v>
      </c>
      <c r="P18" s="387">
        <f t="shared" si="1"/>
        <v>0</v>
      </c>
      <c r="Q18" s="389">
        <f t="shared" si="25"/>
        <v>0</v>
      </c>
      <c r="R18" s="390">
        <f t="shared" si="2"/>
        <v>1304</v>
      </c>
      <c r="S18" s="372">
        <f t="shared" si="3"/>
        <v>4.4000000000000004</v>
      </c>
      <c r="T18" s="389">
        <f t="shared" si="41"/>
        <v>148</v>
      </c>
      <c r="U18" s="391">
        <f t="shared" si="42"/>
        <v>651</v>
      </c>
      <c r="V18" s="386">
        <f t="shared" si="26"/>
        <v>1955</v>
      </c>
      <c r="W18" s="392">
        <f t="shared" si="4"/>
        <v>2.0710000000000002</v>
      </c>
      <c r="X18" s="393">
        <f t="shared" si="5"/>
        <v>594</v>
      </c>
      <c r="Y18" s="393">
        <v>0</v>
      </c>
      <c r="Z18" s="393">
        <v>0</v>
      </c>
      <c r="AA18" s="389">
        <f t="shared" si="6"/>
        <v>594</v>
      </c>
      <c r="AB18" s="393">
        <f t="shared" si="7"/>
        <v>1361</v>
      </c>
      <c r="AE18" s="366">
        <f t="shared" si="27"/>
        <v>2019</v>
      </c>
      <c r="AF18" s="393">
        <f t="shared" si="8"/>
        <v>1304</v>
      </c>
      <c r="AG18" s="368">
        <f t="shared" si="9"/>
        <v>651</v>
      </c>
      <c r="AH18" s="393">
        <f t="shared" si="43"/>
        <v>1955</v>
      </c>
      <c r="AJ18" s="394">
        <f t="shared" si="28"/>
        <v>0</v>
      </c>
      <c r="AK18" s="394">
        <f t="shared" si="28"/>
        <v>0</v>
      </c>
      <c r="AL18" s="395">
        <f t="shared" si="10"/>
        <v>0</v>
      </c>
      <c r="AN18" s="396">
        <f t="shared" si="11"/>
        <v>1955</v>
      </c>
      <c r="AQ18" s="366">
        <f t="shared" si="29"/>
        <v>2019</v>
      </c>
      <c r="AR18" s="393">
        <f t="shared" si="12"/>
        <v>1304</v>
      </c>
      <c r="AS18" s="393">
        <f t="shared" si="13"/>
        <v>651</v>
      </c>
      <c r="AT18" s="397">
        <f t="shared" si="14"/>
        <v>2.7E-2</v>
      </c>
      <c r="AU18" s="398">
        <f t="shared" si="47"/>
        <v>0</v>
      </c>
      <c r="AV18" s="387">
        <f t="shared" si="15"/>
        <v>0.39200000000000002</v>
      </c>
      <c r="AW18" s="393">
        <f t="shared" si="16"/>
        <v>173</v>
      </c>
      <c r="AX18" s="397"/>
      <c r="AY18" s="399"/>
      <c r="AZ18" s="393">
        <f t="shared" si="30"/>
        <v>2128</v>
      </c>
      <c r="BA18" s="381"/>
      <c r="BB18" s="393">
        <v>0</v>
      </c>
      <c r="BC18" s="393">
        <v>0</v>
      </c>
      <c r="BD18" s="400">
        <f t="shared" si="31"/>
        <v>0</v>
      </c>
      <c r="BE18" s="393">
        <f t="shared" si="17"/>
        <v>2128</v>
      </c>
      <c r="BH18" s="366">
        <f t="shared" si="32"/>
        <v>2019</v>
      </c>
      <c r="BI18" s="393">
        <v>0</v>
      </c>
      <c r="BJ18" s="369">
        <f t="shared" si="18"/>
        <v>441</v>
      </c>
      <c r="BK18" s="401">
        <f t="shared" si="19"/>
        <v>7.093</v>
      </c>
      <c r="BL18" s="393">
        <f t="shared" si="44"/>
        <v>3128</v>
      </c>
      <c r="BM18" s="401">
        <f t="shared" si="20"/>
        <v>0.16900000000000001</v>
      </c>
      <c r="BN18" s="398">
        <f t="shared" si="48"/>
        <v>0</v>
      </c>
      <c r="BO18" s="402"/>
      <c r="BP18" s="393">
        <f t="shared" si="21"/>
        <v>3128</v>
      </c>
      <c r="BR18" s="393">
        <f t="shared" si="49"/>
        <v>0</v>
      </c>
      <c r="BS18" s="393"/>
      <c r="BT18" s="393">
        <f t="shared" si="33"/>
        <v>3128</v>
      </c>
      <c r="BW18" s="366">
        <f t="shared" si="34"/>
        <v>2019</v>
      </c>
      <c r="BX18" s="393">
        <f t="shared" si="22"/>
        <v>1304</v>
      </c>
      <c r="BY18" s="369">
        <f t="shared" si="35"/>
        <v>651</v>
      </c>
      <c r="BZ18" s="403">
        <f t="shared" si="36"/>
        <v>0</v>
      </c>
      <c r="CA18" s="393">
        <f t="shared" si="37"/>
        <v>1955</v>
      </c>
      <c r="CC18" s="393">
        <f t="shared" si="38"/>
        <v>0</v>
      </c>
      <c r="CD18" s="393">
        <f t="shared" si="38"/>
        <v>0</v>
      </c>
      <c r="CE18" s="393">
        <f t="shared" si="39"/>
        <v>0</v>
      </c>
      <c r="CF18" s="393"/>
      <c r="CG18" s="393">
        <f t="shared" si="45"/>
        <v>1955</v>
      </c>
      <c r="DB18" s="337" t="s">
        <v>42</v>
      </c>
    </row>
    <row r="19" spans="1:106">
      <c r="C19" s="185"/>
      <c r="J19" s="333">
        <f t="shared" si="23"/>
        <v>6</v>
      </c>
      <c r="L19" s="366">
        <f t="shared" si="24"/>
        <v>2020</v>
      </c>
      <c r="M19" s="386">
        <f t="shared" si="46"/>
        <v>441</v>
      </c>
      <c r="N19" s="387">
        <f t="shared" si="40"/>
        <v>3.0609999999999999</v>
      </c>
      <c r="O19" s="388">
        <f t="shared" si="0"/>
        <v>1350</v>
      </c>
      <c r="P19" s="387">
        <f t="shared" si="1"/>
        <v>0</v>
      </c>
      <c r="Q19" s="389">
        <f t="shared" si="25"/>
        <v>0</v>
      </c>
      <c r="R19" s="390">
        <f t="shared" si="2"/>
        <v>1350</v>
      </c>
      <c r="S19" s="372">
        <f t="shared" si="3"/>
        <v>4.4000000000000004</v>
      </c>
      <c r="T19" s="389">
        <f t="shared" si="41"/>
        <v>149</v>
      </c>
      <c r="U19" s="391">
        <f t="shared" si="42"/>
        <v>656</v>
      </c>
      <c r="V19" s="386">
        <f t="shared" si="26"/>
        <v>2006</v>
      </c>
      <c r="W19" s="392">
        <f t="shared" si="4"/>
        <v>2.1440000000000001</v>
      </c>
      <c r="X19" s="393">
        <f t="shared" si="5"/>
        <v>615</v>
      </c>
      <c r="Y19" s="393">
        <v>0</v>
      </c>
      <c r="Z19" s="393">
        <v>0</v>
      </c>
      <c r="AA19" s="389">
        <f t="shared" si="6"/>
        <v>615</v>
      </c>
      <c r="AB19" s="393">
        <f t="shared" si="7"/>
        <v>1391</v>
      </c>
      <c r="AE19" s="366">
        <f t="shared" si="27"/>
        <v>2020</v>
      </c>
      <c r="AF19" s="393">
        <f t="shared" si="8"/>
        <v>1350</v>
      </c>
      <c r="AG19" s="368">
        <f t="shared" si="9"/>
        <v>656</v>
      </c>
      <c r="AH19" s="393">
        <f t="shared" si="43"/>
        <v>2006</v>
      </c>
      <c r="AJ19" s="394">
        <f t="shared" si="28"/>
        <v>0</v>
      </c>
      <c r="AK19" s="394">
        <f t="shared" si="28"/>
        <v>0</v>
      </c>
      <c r="AL19" s="395">
        <f t="shared" si="10"/>
        <v>0</v>
      </c>
      <c r="AN19" s="396">
        <f t="shared" si="11"/>
        <v>2006</v>
      </c>
      <c r="AQ19" s="366">
        <f t="shared" si="29"/>
        <v>2020</v>
      </c>
      <c r="AR19" s="393">
        <f t="shared" si="12"/>
        <v>1350</v>
      </c>
      <c r="AS19" s="393">
        <f t="shared" si="13"/>
        <v>656</v>
      </c>
      <c r="AT19" s="397">
        <f t="shared" si="14"/>
        <v>2.8000000000000001E-2</v>
      </c>
      <c r="AU19" s="398">
        <f t="shared" si="47"/>
        <v>0</v>
      </c>
      <c r="AV19" s="387">
        <f t="shared" si="15"/>
        <v>0.40100000000000002</v>
      </c>
      <c r="AW19" s="393">
        <f t="shared" si="16"/>
        <v>177</v>
      </c>
      <c r="AX19" s="397"/>
      <c r="AY19" s="399"/>
      <c r="AZ19" s="393">
        <f t="shared" si="30"/>
        <v>2183</v>
      </c>
      <c r="BA19" s="381"/>
      <c r="BB19" s="393">
        <v>0</v>
      </c>
      <c r="BC19" s="393">
        <v>0</v>
      </c>
      <c r="BD19" s="400">
        <f t="shared" si="31"/>
        <v>0</v>
      </c>
      <c r="BE19" s="393">
        <f t="shared" si="17"/>
        <v>2183</v>
      </c>
      <c r="BH19" s="366">
        <f t="shared" si="32"/>
        <v>2020</v>
      </c>
      <c r="BI19" s="393">
        <v>0</v>
      </c>
      <c r="BJ19" s="369">
        <f t="shared" si="18"/>
        <v>441</v>
      </c>
      <c r="BK19" s="401">
        <f t="shared" si="19"/>
        <v>7.3410000000000002</v>
      </c>
      <c r="BL19" s="393">
        <f t="shared" si="44"/>
        <v>3237</v>
      </c>
      <c r="BM19" s="401">
        <f t="shared" si="20"/>
        <v>0.17499999999999999</v>
      </c>
      <c r="BN19" s="398">
        <f t="shared" si="48"/>
        <v>0</v>
      </c>
      <c r="BO19" s="402"/>
      <c r="BP19" s="393">
        <f t="shared" si="21"/>
        <v>3237</v>
      </c>
      <c r="BR19" s="393">
        <f t="shared" si="49"/>
        <v>0</v>
      </c>
      <c r="BS19" s="393"/>
      <c r="BT19" s="393">
        <f t="shared" si="33"/>
        <v>3237</v>
      </c>
      <c r="BW19" s="366">
        <f t="shared" si="34"/>
        <v>2020</v>
      </c>
      <c r="BX19" s="393">
        <f t="shared" si="22"/>
        <v>1350</v>
      </c>
      <c r="BY19" s="369">
        <f t="shared" si="35"/>
        <v>656</v>
      </c>
      <c r="BZ19" s="403">
        <f t="shared" si="36"/>
        <v>0</v>
      </c>
      <c r="CA19" s="393">
        <f t="shared" si="37"/>
        <v>2006</v>
      </c>
      <c r="CC19" s="393">
        <f t="shared" si="38"/>
        <v>0</v>
      </c>
      <c r="CD19" s="393">
        <f t="shared" si="38"/>
        <v>0</v>
      </c>
      <c r="CE19" s="393">
        <f t="shared" si="39"/>
        <v>0</v>
      </c>
      <c r="CF19" s="393"/>
      <c r="CG19" s="393">
        <f t="shared" si="45"/>
        <v>2006</v>
      </c>
    </row>
    <row r="20" spans="1:106">
      <c r="A20" s="185" t="s">
        <v>66</v>
      </c>
      <c r="C20" s="406">
        <f>+'Gas Input Table Summary'!$D$14</f>
        <v>142.21</v>
      </c>
      <c r="E20" s="185" t="s">
        <v>67</v>
      </c>
      <c r="F20" s="195">
        <f>+'Gas Input Table Summary'!D41</f>
        <v>0</v>
      </c>
      <c r="G20" s="195"/>
      <c r="H20" s="195"/>
      <c r="J20" s="333">
        <f t="shared" si="23"/>
        <v>7</v>
      </c>
      <c r="L20" s="366">
        <f t="shared" si="24"/>
        <v>2021</v>
      </c>
      <c r="M20" s="386">
        <f t="shared" si="46"/>
        <v>441</v>
      </c>
      <c r="N20" s="387">
        <f t="shared" si="40"/>
        <v>3.1680000000000001</v>
      </c>
      <c r="O20" s="388">
        <f t="shared" si="0"/>
        <v>1397</v>
      </c>
      <c r="P20" s="387">
        <f t="shared" si="1"/>
        <v>0</v>
      </c>
      <c r="Q20" s="389">
        <f t="shared" si="25"/>
        <v>0</v>
      </c>
      <c r="R20" s="390">
        <f t="shared" si="2"/>
        <v>1397</v>
      </c>
      <c r="S20" s="372">
        <f t="shared" si="3"/>
        <v>4.4000000000000004</v>
      </c>
      <c r="T20" s="389">
        <f t="shared" si="41"/>
        <v>151</v>
      </c>
      <c r="U20" s="391">
        <f t="shared" si="42"/>
        <v>664</v>
      </c>
      <c r="V20" s="386">
        <f t="shared" si="26"/>
        <v>2061</v>
      </c>
      <c r="W20" s="392">
        <f t="shared" si="4"/>
        <v>2.2189999999999999</v>
      </c>
      <c r="X20" s="393">
        <f t="shared" si="5"/>
        <v>636</v>
      </c>
      <c r="Y20" s="393">
        <v>0</v>
      </c>
      <c r="Z20" s="393">
        <v>0</v>
      </c>
      <c r="AA20" s="389">
        <f t="shared" si="6"/>
        <v>636</v>
      </c>
      <c r="AB20" s="393">
        <f t="shared" si="7"/>
        <v>1425</v>
      </c>
      <c r="AE20" s="366">
        <f t="shared" si="27"/>
        <v>2021</v>
      </c>
      <c r="AF20" s="393">
        <f t="shared" si="8"/>
        <v>1397</v>
      </c>
      <c r="AG20" s="368">
        <f t="shared" si="9"/>
        <v>664</v>
      </c>
      <c r="AH20" s="393">
        <f t="shared" si="43"/>
        <v>2061</v>
      </c>
      <c r="AJ20" s="394">
        <f t="shared" si="28"/>
        <v>0</v>
      </c>
      <c r="AK20" s="394">
        <f t="shared" si="28"/>
        <v>0</v>
      </c>
      <c r="AL20" s="395">
        <f t="shared" si="10"/>
        <v>0</v>
      </c>
      <c r="AN20" s="396">
        <f t="shared" si="11"/>
        <v>2061</v>
      </c>
      <c r="AQ20" s="366">
        <f t="shared" si="29"/>
        <v>2021</v>
      </c>
      <c r="AR20" s="393">
        <f t="shared" si="12"/>
        <v>1397</v>
      </c>
      <c r="AS20" s="393">
        <f t="shared" si="13"/>
        <v>664</v>
      </c>
      <c r="AT20" s="397">
        <f t="shared" si="14"/>
        <v>2.9000000000000001E-2</v>
      </c>
      <c r="AU20" s="398">
        <f t="shared" si="47"/>
        <v>0</v>
      </c>
      <c r="AV20" s="387">
        <f t="shared" si="15"/>
        <v>0.41</v>
      </c>
      <c r="AW20" s="393">
        <f t="shared" si="16"/>
        <v>181</v>
      </c>
      <c r="AX20" s="397"/>
      <c r="AY20" s="399"/>
      <c r="AZ20" s="393">
        <f t="shared" si="30"/>
        <v>2242</v>
      </c>
      <c r="BA20" s="381"/>
      <c r="BB20" s="393">
        <v>0</v>
      </c>
      <c r="BC20" s="393">
        <v>0</v>
      </c>
      <c r="BD20" s="400">
        <f t="shared" si="31"/>
        <v>0</v>
      </c>
      <c r="BE20" s="393">
        <f t="shared" si="17"/>
        <v>2242</v>
      </c>
      <c r="BH20" s="366">
        <f t="shared" si="32"/>
        <v>2021</v>
      </c>
      <c r="BI20" s="393">
        <v>0</v>
      </c>
      <c r="BJ20" s="369">
        <f t="shared" si="18"/>
        <v>441</v>
      </c>
      <c r="BK20" s="401">
        <f t="shared" si="19"/>
        <v>7.5979999999999999</v>
      </c>
      <c r="BL20" s="393">
        <f t="shared" si="44"/>
        <v>3351</v>
      </c>
      <c r="BM20" s="401">
        <f t="shared" si="20"/>
        <v>0.18099999999999999</v>
      </c>
      <c r="BN20" s="398">
        <f t="shared" si="48"/>
        <v>0</v>
      </c>
      <c r="BO20" s="402"/>
      <c r="BP20" s="393">
        <f t="shared" si="21"/>
        <v>3351</v>
      </c>
      <c r="BR20" s="393">
        <f t="shared" si="49"/>
        <v>0</v>
      </c>
      <c r="BS20" s="393"/>
      <c r="BT20" s="393">
        <f t="shared" si="33"/>
        <v>3351</v>
      </c>
      <c r="BW20" s="366">
        <f t="shared" si="34"/>
        <v>2021</v>
      </c>
      <c r="BX20" s="393">
        <f t="shared" si="22"/>
        <v>1397</v>
      </c>
      <c r="BY20" s="369">
        <f t="shared" si="35"/>
        <v>664</v>
      </c>
      <c r="BZ20" s="403">
        <f t="shared" si="36"/>
        <v>0</v>
      </c>
      <c r="CA20" s="393">
        <f t="shared" si="37"/>
        <v>2061</v>
      </c>
      <c r="CC20" s="393">
        <f t="shared" si="38"/>
        <v>0</v>
      </c>
      <c r="CD20" s="393">
        <f t="shared" si="38"/>
        <v>0</v>
      </c>
      <c r="CE20" s="393">
        <f t="shared" si="39"/>
        <v>0</v>
      </c>
      <c r="CF20" s="393"/>
      <c r="CG20" s="393">
        <f t="shared" si="45"/>
        <v>2061</v>
      </c>
      <c r="DB20" s="366"/>
    </row>
    <row r="21" spans="1:106">
      <c r="A21" s="185" t="s">
        <v>18</v>
      </c>
      <c r="C21" s="358">
        <f>+'Gas Input Table Summary'!$D$15</f>
        <v>0.01</v>
      </c>
      <c r="E21" s="187" t="s">
        <v>65</v>
      </c>
      <c r="F21" s="405">
        <f>+'Gas Input Table Summary'!D44</f>
        <v>0</v>
      </c>
      <c r="G21" s="405"/>
      <c r="H21" s="405"/>
      <c r="J21" s="333">
        <f t="shared" si="23"/>
        <v>8</v>
      </c>
      <c r="L21" s="366">
        <f t="shared" si="24"/>
        <v>2022</v>
      </c>
      <c r="M21" s="386">
        <f t="shared" si="46"/>
        <v>441</v>
      </c>
      <c r="N21" s="387">
        <f t="shared" si="40"/>
        <v>3.2789999999999999</v>
      </c>
      <c r="O21" s="388">
        <f t="shared" si="0"/>
        <v>1446</v>
      </c>
      <c r="P21" s="387">
        <f t="shared" si="1"/>
        <v>0</v>
      </c>
      <c r="Q21" s="389">
        <f t="shared" si="25"/>
        <v>0</v>
      </c>
      <c r="R21" s="390">
        <f t="shared" si="2"/>
        <v>1446</v>
      </c>
      <c r="S21" s="372">
        <f t="shared" si="3"/>
        <v>4.4000000000000004</v>
      </c>
      <c r="T21" s="389">
        <f t="shared" si="41"/>
        <v>152</v>
      </c>
      <c r="U21" s="391">
        <f t="shared" si="42"/>
        <v>669</v>
      </c>
      <c r="V21" s="386">
        <f t="shared" si="26"/>
        <v>2115</v>
      </c>
      <c r="W21" s="392">
        <f t="shared" si="4"/>
        <v>2.2970000000000002</v>
      </c>
      <c r="X21" s="393">
        <f t="shared" si="5"/>
        <v>658</v>
      </c>
      <c r="Y21" s="393">
        <v>0</v>
      </c>
      <c r="Z21" s="393">
        <v>0</v>
      </c>
      <c r="AA21" s="389">
        <f t="shared" si="6"/>
        <v>658</v>
      </c>
      <c r="AB21" s="393">
        <f t="shared" si="7"/>
        <v>1457</v>
      </c>
      <c r="AE21" s="366">
        <f t="shared" si="27"/>
        <v>2022</v>
      </c>
      <c r="AF21" s="393">
        <f t="shared" si="8"/>
        <v>1446</v>
      </c>
      <c r="AG21" s="368">
        <f t="shared" si="9"/>
        <v>669</v>
      </c>
      <c r="AH21" s="393">
        <f t="shared" si="43"/>
        <v>2115</v>
      </c>
      <c r="AJ21" s="394">
        <f t="shared" si="28"/>
        <v>0</v>
      </c>
      <c r="AK21" s="394">
        <f t="shared" si="28"/>
        <v>0</v>
      </c>
      <c r="AL21" s="395">
        <f t="shared" si="10"/>
        <v>0</v>
      </c>
      <c r="AN21" s="396">
        <f t="shared" si="11"/>
        <v>2115</v>
      </c>
      <c r="AQ21" s="366">
        <f t="shared" si="29"/>
        <v>2022</v>
      </c>
      <c r="AR21" s="393">
        <f t="shared" si="12"/>
        <v>1446</v>
      </c>
      <c r="AS21" s="393">
        <f t="shared" si="13"/>
        <v>669</v>
      </c>
      <c r="AT21" s="397">
        <f t="shared" si="14"/>
        <v>0.03</v>
      </c>
      <c r="AU21" s="398">
        <f t="shared" si="47"/>
        <v>0</v>
      </c>
      <c r="AV21" s="387">
        <f t="shared" si="15"/>
        <v>0.42</v>
      </c>
      <c r="AW21" s="393">
        <f t="shared" si="16"/>
        <v>185</v>
      </c>
      <c r="AX21" s="397"/>
      <c r="AY21" s="399"/>
      <c r="AZ21" s="393">
        <f t="shared" si="30"/>
        <v>2300</v>
      </c>
      <c r="BA21" s="381"/>
      <c r="BB21" s="393">
        <v>0</v>
      </c>
      <c r="BC21" s="393">
        <v>0</v>
      </c>
      <c r="BD21" s="400">
        <f t="shared" si="31"/>
        <v>0</v>
      </c>
      <c r="BE21" s="393">
        <f t="shared" si="17"/>
        <v>2300</v>
      </c>
      <c r="BH21" s="366">
        <f t="shared" si="32"/>
        <v>2022</v>
      </c>
      <c r="BI21" s="393">
        <v>0</v>
      </c>
      <c r="BJ21" s="369">
        <f t="shared" si="18"/>
        <v>441</v>
      </c>
      <c r="BK21" s="401">
        <f t="shared" si="19"/>
        <v>7.8639999999999999</v>
      </c>
      <c r="BL21" s="393">
        <f t="shared" si="44"/>
        <v>3468</v>
      </c>
      <c r="BM21" s="401">
        <f t="shared" si="20"/>
        <v>0.187</v>
      </c>
      <c r="BN21" s="398">
        <f t="shared" si="48"/>
        <v>0</v>
      </c>
      <c r="BO21" s="402"/>
      <c r="BP21" s="393">
        <f t="shared" si="21"/>
        <v>3468</v>
      </c>
      <c r="BR21" s="393">
        <f t="shared" si="49"/>
        <v>0</v>
      </c>
      <c r="BS21" s="393"/>
      <c r="BT21" s="393">
        <f t="shared" si="33"/>
        <v>3468</v>
      </c>
      <c r="BW21" s="366">
        <f t="shared" si="34"/>
        <v>2022</v>
      </c>
      <c r="BX21" s="393">
        <f t="shared" si="22"/>
        <v>1446</v>
      </c>
      <c r="BY21" s="369">
        <f t="shared" si="35"/>
        <v>669</v>
      </c>
      <c r="BZ21" s="403">
        <f t="shared" si="36"/>
        <v>0</v>
      </c>
      <c r="CA21" s="393">
        <f t="shared" si="37"/>
        <v>2115</v>
      </c>
      <c r="CC21" s="393">
        <f t="shared" si="38"/>
        <v>0</v>
      </c>
      <c r="CD21" s="393">
        <f t="shared" si="38"/>
        <v>0</v>
      </c>
      <c r="CE21" s="393">
        <f t="shared" si="39"/>
        <v>0</v>
      </c>
      <c r="CF21" s="393"/>
      <c r="CG21" s="393">
        <f t="shared" si="45"/>
        <v>2115</v>
      </c>
      <c r="DB21" s="333">
        <f>$J14</f>
        <v>1</v>
      </c>
    </row>
    <row r="22" spans="1:106">
      <c r="F22" s="368"/>
      <c r="G22" s="368"/>
      <c r="H22" s="368"/>
      <c r="J22" s="333">
        <f t="shared" si="23"/>
        <v>9</v>
      </c>
      <c r="L22" s="366">
        <f t="shared" si="24"/>
        <v>2023</v>
      </c>
      <c r="M22" s="386">
        <f t="shared" si="46"/>
        <v>441</v>
      </c>
      <c r="N22" s="387">
        <f t="shared" si="40"/>
        <v>3.3929999999999998</v>
      </c>
      <c r="O22" s="388">
        <f t="shared" si="0"/>
        <v>1496</v>
      </c>
      <c r="P22" s="387">
        <f t="shared" si="1"/>
        <v>0</v>
      </c>
      <c r="Q22" s="389">
        <f t="shared" si="25"/>
        <v>0</v>
      </c>
      <c r="R22" s="390">
        <f t="shared" si="2"/>
        <v>1496</v>
      </c>
      <c r="S22" s="372">
        <f t="shared" si="3"/>
        <v>4.4000000000000004</v>
      </c>
      <c r="T22" s="389">
        <f t="shared" si="41"/>
        <v>154</v>
      </c>
      <c r="U22" s="391">
        <f t="shared" si="42"/>
        <v>678</v>
      </c>
      <c r="V22" s="386">
        <f t="shared" si="26"/>
        <v>2174</v>
      </c>
      <c r="W22" s="392">
        <f t="shared" si="4"/>
        <v>2.3769999999999998</v>
      </c>
      <c r="X22" s="393">
        <f t="shared" si="5"/>
        <v>681</v>
      </c>
      <c r="Y22" s="393">
        <v>0</v>
      </c>
      <c r="Z22" s="393">
        <v>0</v>
      </c>
      <c r="AA22" s="389">
        <f t="shared" si="6"/>
        <v>681</v>
      </c>
      <c r="AB22" s="393">
        <f t="shared" si="7"/>
        <v>1493</v>
      </c>
      <c r="AE22" s="366">
        <f t="shared" si="27"/>
        <v>2023</v>
      </c>
      <c r="AF22" s="393">
        <f t="shared" si="8"/>
        <v>1496</v>
      </c>
      <c r="AG22" s="368">
        <f t="shared" si="9"/>
        <v>678</v>
      </c>
      <c r="AH22" s="393">
        <f t="shared" si="43"/>
        <v>2174</v>
      </c>
      <c r="AJ22" s="394">
        <f t="shared" si="28"/>
        <v>0</v>
      </c>
      <c r="AK22" s="394">
        <f t="shared" si="28"/>
        <v>0</v>
      </c>
      <c r="AL22" s="395">
        <f t="shared" si="10"/>
        <v>0</v>
      </c>
      <c r="AN22" s="396">
        <f t="shared" si="11"/>
        <v>2174</v>
      </c>
      <c r="AQ22" s="366">
        <f t="shared" si="29"/>
        <v>2023</v>
      </c>
      <c r="AR22" s="393">
        <f t="shared" si="12"/>
        <v>1496</v>
      </c>
      <c r="AS22" s="393">
        <f t="shared" si="13"/>
        <v>678</v>
      </c>
      <c r="AT22" s="397">
        <f t="shared" si="14"/>
        <v>3.1E-2</v>
      </c>
      <c r="AU22" s="398">
        <f t="shared" si="47"/>
        <v>0</v>
      </c>
      <c r="AV22" s="387">
        <f t="shared" si="15"/>
        <v>0.42899999999999999</v>
      </c>
      <c r="AW22" s="393">
        <f t="shared" si="16"/>
        <v>189</v>
      </c>
      <c r="AX22" s="397"/>
      <c r="AY22" s="399"/>
      <c r="AZ22" s="393">
        <f t="shared" si="30"/>
        <v>2363</v>
      </c>
      <c r="BA22" s="381"/>
      <c r="BB22" s="393">
        <v>0</v>
      </c>
      <c r="BC22" s="393">
        <v>0</v>
      </c>
      <c r="BD22" s="400">
        <f t="shared" si="31"/>
        <v>0</v>
      </c>
      <c r="BE22" s="393">
        <f t="shared" si="17"/>
        <v>2363</v>
      </c>
      <c r="BH22" s="366">
        <f t="shared" si="32"/>
        <v>2023</v>
      </c>
      <c r="BI22" s="393">
        <v>0</v>
      </c>
      <c r="BJ22" s="369">
        <f t="shared" si="18"/>
        <v>441</v>
      </c>
      <c r="BK22" s="401">
        <f t="shared" si="19"/>
        <v>8.1389999999999993</v>
      </c>
      <c r="BL22" s="393">
        <f t="shared" si="44"/>
        <v>3589</v>
      </c>
      <c r="BM22" s="401">
        <f t="shared" si="20"/>
        <v>0.19400000000000001</v>
      </c>
      <c r="BN22" s="398">
        <f t="shared" si="48"/>
        <v>0</v>
      </c>
      <c r="BO22" s="402"/>
      <c r="BP22" s="393">
        <f t="shared" si="21"/>
        <v>3589</v>
      </c>
      <c r="BR22" s="393">
        <f t="shared" si="49"/>
        <v>0</v>
      </c>
      <c r="BS22" s="393"/>
      <c r="BT22" s="393">
        <f t="shared" si="33"/>
        <v>3589</v>
      </c>
      <c r="BW22" s="366">
        <f t="shared" si="34"/>
        <v>2023</v>
      </c>
      <c r="BX22" s="393">
        <f t="shared" si="22"/>
        <v>1496</v>
      </c>
      <c r="BY22" s="369">
        <f t="shared" si="35"/>
        <v>678</v>
      </c>
      <c r="BZ22" s="403">
        <f t="shared" si="36"/>
        <v>0</v>
      </c>
      <c r="CA22" s="393">
        <f t="shared" si="37"/>
        <v>2174</v>
      </c>
      <c r="CC22" s="393">
        <f t="shared" si="38"/>
        <v>0</v>
      </c>
      <c r="CD22" s="393">
        <f t="shared" si="38"/>
        <v>0</v>
      </c>
      <c r="CE22" s="393">
        <f t="shared" si="39"/>
        <v>0</v>
      </c>
      <c r="CF22" s="393"/>
      <c r="CG22" s="393">
        <f t="shared" si="45"/>
        <v>2174</v>
      </c>
      <c r="DB22" s="333">
        <f>$J15</f>
        <v>2</v>
      </c>
    </row>
    <row r="23" spans="1:106">
      <c r="A23" s="185" t="s">
        <v>68</v>
      </c>
      <c r="C23" s="407">
        <f>+'Gas Input Table Summary'!$D$16</f>
        <v>0.01</v>
      </c>
      <c r="E23" s="185" t="s">
        <v>69</v>
      </c>
      <c r="F23" s="408">
        <f>ROUND('Database Inputs'!D13,0)</f>
        <v>10</v>
      </c>
      <c r="G23" s="408"/>
      <c r="H23" s="408"/>
      <c r="J23" s="333">
        <f t="shared" si="23"/>
        <v>10</v>
      </c>
      <c r="L23" s="366">
        <f t="shared" si="24"/>
        <v>2024</v>
      </c>
      <c r="M23" s="386">
        <f t="shared" si="46"/>
        <v>441</v>
      </c>
      <c r="N23" s="387">
        <f t="shared" si="40"/>
        <v>3.512</v>
      </c>
      <c r="O23" s="388">
        <f t="shared" si="0"/>
        <v>1549</v>
      </c>
      <c r="P23" s="387">
        <f t="shared" si="1"/>
        <v>0</v>
      </c>
      <c r="Q23" s="389">
        <f t="shared" si="25"/>
        <v>0</v>
      </c>
      <c r="R23" s="390">
        <f t="shared" si="2"/>
        <v>1549</v>
      </c>
      <c r="S23" s="372">
        <f t="shared" si="3"/>
        <v>4.4000000000000004</v>
      </c>
      <c r="T23" s="389">
        <f t="shared" si="41"/>
        <v>156</v>
      </c>
      <c r="U23" s="391">
        <f t="shared" si="42"/>
        <v>686</v>
      </c>
      <c r="V23" s="386">
        <f t="shared" si="26"/>
        <v>2235</v>
      </c>
      <c r="W23" s="392">
        <f t="shared" si="4"/>
        <v>2.46</v>
      </c>
      <c r="X23" s="393">
        <f t="shared" si="5"/>
        <v>705</v>
      </c>
      <c r="Y23" s="393">
        <v>0</v>
      </c>
      <c r="Z23" s="393">
        <v>0</v>
      </c>
      <c r="AA23" s="389">
        <f t="shared" si="6"/>
        <v>705</v>
      </c>
      <c r="AB23" s="393">
        <f t="shared" si="7"/>
        <v>1530</v>
      </c>
      <c r="AE23" s="366">
        <f t="shared" si="27"/>
        <v>2024</v>
      </c>
      <c r="AF23" s="393">
        <f t="shared" si="8"/>
        <v>1549</v>
      </c>
      <c r="AG23" s="368">
        <f t="shared" si="9"/>
        <v>686</v>
      </c>
      <c r="AH23" s="393">
        <f t="shared" si="43"/>
        <v>2235</v>
      </c>
      <c r="AJ23" s="394">
        <f t="shared" si="28"/>
        <v>0</v>
      </c>
      <c r="AK23" s="394">
        <f t="shared" si="28"/>
        <v>0</v>
      </c>
      <c r="AL23" s="395">
        <f t="shared" si="10"/>
        <v>0</v>
      </c>
      <c r="AN23" s="396">
        <f t="shared" si="11"/>
        <v>2235</v>
      </c>
      <c r="AQ23" s="366">
        <f t="shared" si="29"/>
        <v>2024</v>
      </c>
      <c r="AR23" s="393">
        <f t="shared" si="12"/>
        <v>1549</v>
      </c>
      <c r="AS23" s="393">
        <f t="shared" si="13"/>
        <v>686</v>
      </c>
      <c r="AT23" s="397">
        <f t="shared" si="14"/>
        <v>3.2000000000000001E-2</v>
      </c>
      <c r="AU23" s="398">
        <f t="shared" si="47"/>
        <v>0</v>
      </c>
      <c r="AV23" s="387">
        <f t="shared" si="15"/>
        <v>0.439</v>
      </c>
      <c r="AW23" s="393">
        <f t="shared" si="16"/>
        <v>194</v>
      </c>
      <c r="AX23" s="397"/>
      <c r="AY23" s="399"/>
      <c r="AZ23" s="393">
        <f t="shared" si="30"/>
        <v>2429</v>
      </c>
      <c r="BA23" s="381"/>
      <c r="BB23" s="393">
        <v>0</v>
      </c>
      <c r="BC23" s="393">
        <v>0</v>
      </c>
      <c r="BD23" s="400">
        <f t="shared" si="31"/>
        <v>0</v>
      </c>
      <c r="BE23" s="393">
        <f t="shared" si="17"/>
        <v>2429</v>
      </c>
      <c r="BH23" s="366">
        <f t="shared" si="32"/>
        <v>2024</v>
      </c>
      <c r="BI23" s="393">
        <v>0</v>
      </c>
      <c r="BJ23" s="369">
        <f t="shared" si="18"/>
        <v>441</v>
      </c>
      <c r="BK23" s="401">
        <f t="shared" si="19"/>
        <v>8.4239999999999995</v>
      </c>
      <c r="BL23" s="393">
        <f t="shared" si="44"/>
        <v>3715</v>
      </c>
      <c r="BM23" s="401">
        <f t="shared" si="20"/>
        <v>0.2</v>
      </c>
      <c r="BN23" s="398">
        <f t="shared" si="48"/>
        <v>0</v>
      </c>
      <c r="BO23" s="402"/>
      <c r="BP23" s="393">
        <f t="shared" si="21"/>
        <v>3715</v>
      </c>
      <c r="BR23" s="393">
        <f t="shared" si="49"/>
        <v>0</v>
      </c>
      <c r="BS23" s="393"/>
      <c r="BT23" s="393">
        <f t="shared" si="33"/>
        <v>3715</v>
      </c>
      <c r="BW23" s="366">
        <f t="shared" si="34"/>
        <v>2024</v>
      </c>
      <c r="BX23" s="393">
        <f t="shared" si="22"/>
        <v>1549</v>
      </c>
      <c r="BY23" s="369">
        <f t="shared" si="35"/>
        <v>686</v>
      </c>
      <c r="BZ23" s="403">
        <f t="shared" si="36"/>
        <v>0</v>
      </c>
      <c r="CA23" s="393">
        <f t="shared" si="37"/>
        <v>2235</v>
      </c>
      <c r="CC23" s="393">
        <f t="shared" si="38"/>
        <v>0</v>
      </c>
      <c r="CD23" s="393">
        <f t="shared" si="38"/>
        <v>0</v>
      </c>
      <c r="CE23" s="393">
        <f t="shared" si="39"/>
        <v>0</v>
      </c>
      <c r="CF23" s="393"/>
      <c r="CG23" s="393">
        <f t="shared" si="45"/>
        <v>2235</v>
      </c>
      <c r="DB23" s="333">
        <f>$J16</f>
        <v>3</v>
      </c>
    </row>
    <row r="24" spans="1:106">
      <c r="F24" s="368"/>
      <c r="G24" s="368"/>
      <c r="H24" s="368"/>
      <c r="J24" s="333">
        <f t="shared" si="23"/>
        <v>11</v>
      </c>
      <c r="L24" s="366">
        <f t="shared" si="24"/>
        <v>2025</v>
      </c>
      <c r="M24" s="386">
        <f t="shared" si="46"/>
        <v>0</v>
      </c>
      <c r="N24" s="387">
        <f t="shared" si="40"/>
        <v>3.6349999999999998</v>
      </c>
      <c r="O24" s="388">
        <f t="shared" si="0"/>
        <v>0</v>
      </c>
      <c r="P24" s="387">
        <f t="shared" si="1"/>
        <v>0</v>
      </c>
      <c r="Q24" s="389">
        <f t="shared" si="25"/>
        <v>0</v>
      </c>
      <c r="R24" s="390">
        <f t="shared" si="2"/>
        <v>0</v>
      </c>
      <c r="S24" s="372">
        <f t="shared" si="3"/>
        <v>0</v>
      </c>
      <c r="T24" s="389">
        <f t="shared" si="41"/>
        <v>157</v>
      </c>
      <c r="U24" s="391">
        <f t="shared" si="42"/>
        <v>0</v>
      </c>
      <c r="V24" s="386">
        <f t="shared" si="26"/>
        <v>0</v>
      </c>
      <c r="W24" s="392">
        <f t="shared" si="4"/>
        <v>2.5459999999999998</v>
      </c>
      <c r="X24" s="393">
        <f t="shared" si="5"/>
        <v>0</v>
      </c>
      <c r="Y24" s="393">
        <v>0</v>
      </c>
      <c r="Z24" s="393">
        <v>0</v>
      </c>
      <c r="AA24" s="389">
        <f t="shared" si="6"/>
        <v>0</v>
      </c>
      <c r="AB24" s="393">
        <f t="shared" si="7"/>
        <v>0</v>
      </c>
      <c r="AE24" s="366">
        <f t="shared" si="27"/>
        <v>2025</v>
      </c>
      <c r="AF24" s="393">
        <f t="shared" si="8"/>
        <v>0</v>
      </c>
      <c r="AG24" s="368">
        <f t="shared" si="9"/>
        <v>0</v>
      </c>
      <c r="AH24" s="393">
        <f t="shared" si="43"/>
        <v>0</v>
      </c>
      <c r="AJ24" s="394">
        <f t="shared" si="28"/>
        <v>0</v>
      </c>
      <c r="AK24" s="394">
        <f t="shared" si="28"/>
        <v>0</v>
      </c>
      <c r="AL24" s="395">
        <f t="shared" si="10"/>
        <v>0</v>
      </c>
      <c r="AN24" s="396">
        <f t="shared" si="11"/>
        <v>0</v>
      </c>
      <c r="AQ24" s="366">
        <f t="shared" si="29"/>
        <v>2025</v>
      </c>
      <c r="AR24" s="393">
        <f t="shared" si="12"/>
        <v>0</v>
      </c>
      <c r="AS24" s="393">
        <f t="shared" si="13"/>
        <v>0</v>
      </c>
      <c r="AT24" s="397">
        <f t="shared" si="14"/>
        <v>3.4000000000000002E-2</v>
      </c>
      <c r="AU24" s="398">
        <f t="shared" si="47"/>
        <v>0</v>
      </c>
      <c r="AV24" s="387">
        <f t="shared" si="15"/>
        <v>0.44900000000000001</v>
      </c>
      <c r="AW24" s="393">
        <f t="shared" si="16"/>
        <v>0</v>
      </c>
      <c r="AX24" s="397"/>
      <c r="AY24" s="399"/>
      <c r="AZ24" s="393">
        <f t="shared" si="30"/>
        <v>0</v>
      </c>
      <c r="BA24" s="381"/>
      <c r="BB24" s="393">
        <v>0</v>
      </c>
      <c r="BC24" s="393">
        <v>0</v>
      </c>
      <c r="BD24" s="400">
        <f t="shared" si="31"/>
        <v>0</v>
      </c>
      <c r="BE24" s="393">
        <f t="shared" si="17"/>
        <v>0</v>
      </c>
      <c r="BH24" s="366">
        <f t="shared" si="32"/>
        <v>2025</v>
      </c>
      <c r="BI24" s="393">
        <v>0</v>
      </c>
      <c r="BJ24" s="369">
        <f t="shared" si="18"/>
        <v>0</v>
      </c>
      <c r="BK24" s="401">
        <f t="shared" si="19"/>
        <v>8.7189999999999994</v>
      </c>
      <c r="BL24" s="393">
        <f t="shared" si="44"/>
        <v>0</v>
      </c>
      <c r="BM24" s="401">
        <f t="shared" si="20"/>
        <v>0.20699999999999999</v>
      </c>
      <c r="BN24" s="398">
        <f t="shared" si="48"/>
        <v>0</v>
      </c>
      <c r="BO24" s="402"/>
      <c r="BP24" s="393">
        <f t="shared" si="21"/>
        <v>0</v>
      </c>
      <c r="BR24" s="393">
        <f t="shared" si="49"/>
        <v>0</v>
      </c>
      <c r="BS24" s="393"/>
      <c r="BT24" s="393">
        <f t="shared" si="33"/>
        <v>0</v>
      </c>
      <c r="BW24" s="366">
        <f t="shared" si="34"/>
        <v>2025</v>
      </c>
      <c r="BX24" s="393">
        <f t="shared" si="22"/>
        <v>0</v>
      </c>
      <c r="BY24" s="369">
        <f t="shared" si="35"/>
        <v>0</v>
      </c>
      <c r="BZ24" s="403">
        <f t="shared" si="36"/>
        <v>0</v>
      </c>
      <c r="CA24" s="393">
        <f t="shared" si="37"/>
        <v>0</v>
      </c>
      <c r="CC24" s="393">
        <f t="shared" si="38"/>
        <v>0</v>
      </c>
      <c r="CD24" s="393">
        <f t="shared" si="38"/>
        <v>0</v>
      </c>
      <c r="CE24" s="393">
        <f t="shared" si="39"/>
        <v>0</v>
      </c>
      <c r="CF24" s="393"/>
      <c r="CG24" s="393">
        <f t="shared" si="45"/>
        <v>0</v>
      </c>
      <c r="DB24" s="333">
        <f>$J17</f>
        <v>4</v>
      </c>
    </row>
    <row r="25" spans="1:106">
      <c r="A25" s="187" t="s">
        <v>106</v>
      </c>
      <c r="C25" s="356">
        <f>+'Gas Input Table Summary'!$D$17</f>
        <v>0</v>
      </c>
      <c r="E25" s="193" t="s">
        <v>102</v>
      </c>
      <c r="F25" s="197">
        <f>+ROUND(F32/F30,3)</f>
        <v>2.9009999999999998</v>
      </c>
      <c r="G25" s="197"/>
      <c r="H25" s="197"/>
      <c r="J25" s="333">
        <f t="shared" si="23"/>
        <v>12</v>
      </c>
      <c r="L25" s="366">
        <f t="shared" si="24"/>
        <v>2026</v>
      </c>
      <c r="M25" s="386">
        <f t="shared" si="46"/>
        <v>0</v>
      </c>
      <c r="N25" s="387">
        <f t="shared" si="40"/>
        <v>3.762</v>
      </c>
      <c r="O25" s="388">
        <f t="shared" si="0"/>
        <v>0</v>
      </c>
      <c r="P25" s="387">
        <f t="shared" si="1"/>
        <v>0</v>
      </c>
      <c r="Q25" s="389">
        <f t="shared" si="25"/>
        <v>0</v>
      </c>
      <c r="R25" s="390">
        <f t="shared" si="2"/>
        <v>0</v>
      </c>
      <c r="S25" s="372">
        <f t="shared" si="3"/>
        <v>0</v>
      </c>
      <c r="T25" s="389">
        <f t="shared" si="41"/>
        <v>159</v>
      </c>
      <c r="U25" s="391">
        <f t="shared" si="42"/>
        <v>0</v>
      </c>
      <c r="V25" s="386">
        <f t="shared" si="26"/>
        <v>0</v>
      </c>
      <c r="W25" s="392">
        <f t="shared" si="4"/>
        <v>2.6349999999999998</v>
      </c>
      <c r="X25" s="393">
        <f t="shared" si="5"/>
        <v>0</v>
      </c>
      <c r="Y25" s="393">
        <v>0</v>
      </c>
      <c r="Z25" s="393">
        <v>0</v>
      </c>
      <c r="AA25" s="389">
        <f t="shared" si="6"/>
        <v>0</v>
      </c>
      <c r="AB25" s="393">
        <f t="shared" si="7"/>
        <v>0</v>
      </c>
      <c r="AE25" s="366">
        <f t="shared" si="27"/>
        <v>2026</v>
      </c>
      <c r="AF25" s="393">
        <f t="shared" si="8"/>
        <v>0</v>
      </c>
      <c r="AG25" s="368">
        <f t="shared" si="9"/>
        <v>0</v>
      </c>
      <c r="AH25" s="393">
        <f t="shared" si="43"/>
        <v>0</v>
      </c>
      <c r="AJ25" s="394">
        <f t="shared" si="28"/>
        <v>0</v>
      </c>
      <c r="AK25" s="394">
        <f t="shared" si="28"/>
        <v>0</v>
      </c>
      <c r="AL25" s="395">
        <f t="shared" si="10"/>
        <v>0</v>
      </c>
      <c r="AN25" s="396">
        <f t="shared" si="11"/>
        <v>0</v>
      </c>
      <c r="AQ25" s="366">
        <f t="shared" si="29"/>
        <v>2026</v>
      </c>
      <c r="AR25" s="393">
        <f t="shared" si="12"/>
        <v>0</v>
      </c>
      <c r="AS25" s="393">
        <f t="shared" si="13"/>
        <v>0</v>
      </c>
      <c r="AT25" s="397">
        <f t="shared" si="14"/>
        <v>3.5000000000000003E-2</v>
      </c>
      <c r="AU25" s="398">
        <f t="shared" si="47"/>
        <v>0</v>
      </c>
      <c r="AV25" s="387">
        <f t="shared" si="15"/>
        <v>0.46</v>
      </c>
      <c r="AW25" s="393">
        <f t="shared" si="16"/>
        <v>0</v>
      </c>
      <c r="AX25" s="397"/>
      <c r="AY25" s="399"/>
      <c r="AZ25" s="393">
        <f t="shared" si="30"/>
        <v>0</v>
      </c>
      <c r="BA25" s="381"/>
      <c r="BB25" s="393">
        <v>0</v>
      </c>
      <c r="BC25" s="393">
        <v>0</v>
      </c>
      <c r="BD25" s="400">
        <f t="shared" si="31"/>
        <v>0</v>
      </c>
      <c r="BE25" s="393">
        <f t="shared" si="17"/>
        <v>0</v>
      </c>
      <c r="BH25" s="366">
        <f t="shared" si="32"/>
        <v>2026</v>
      </c>
      <c r="BI25" s="393">
        <v>0</v>
      </c>
      <c r="BJ25" s="369">
        <f t="shared" si="18"/>
        <v>0</v>
      </c>
      <c r="BK25" s="401">
        <f t="shared" si="19"/>
        <v>9.0239999999999991</v>
      </c>
      <c r="BL25" s="393">
        <f t="shared" si="44"/>
        <v>0</v>
      </c>
      <c r="BM25" s="401">
        <f t="shared" si="20"/>
        <v>0.215</v>
      </c>
      <c r="BN25" s="398">
        <f t="shared" si="48"/>
        <v>0</v>
      </c>
      <c r="BO25" s="402"/>
      <c r="BP25" s="393">
        <f t="shared" si="21"/>
        <v>0</v>
      </c>
      <c r="BR25" s="393">
        <f t="shared" si="49"/>
        <v>0</v>
      </c>
      <c r="BS25" s="393"/>
      <c r="BT25" s="393">
        <f t="shared" si="33"/>
        <v>0</v>
      </c>
      <c r="BW25" s="366">
        <f t="shared" si="34"/>
        <v>2026</v>
      </c>
      <c r="BX25" s="393">
        <f t="shared" si="22"/>
        <v>0</v>
      </c>
      <c r="BY25" s="369">
        <f t="shared" si="35"/>
        <v>0</v>
      </c>
      <c r="BZ25" s="403">
        <f t="shared" si="36"/>
        <v>0</v>
      </c>
      <c r="CA25" s="393">
        <f t="shared" si="37"/>
        <v>0</v>
      </c>
      <c r="CC25" s="393">
        <f t="shared" si="38"/>
        <v>0</v>
      </c>
      <c r="CD25" s="393">
        <f t="shared" si="38"/>
        <v>0</v>
      </c>
      <c r="CE25" s="393">
        <f t="shared" si="39"/>
        <v>0</v>
      </c>
      <c r="CF25" s="393"/>
      <c r="CG25" s="393">
        <f t="shared" si="45"/>
        <v>0</v>
      </c>
      <c r="DB25" s="333"/>
    </row>
    <row r="26" spans="1:106">
      <c r="A26" s="185" t="s">
        <v>18</v>
      </c>
      <c r="C26" s="358">
        <f>+'Gas Input Table Summary'!$D$18</f>
        <v>0</v>
      </c>
      <c r="F26" s="368"/>
      <c r="G26" s="368"/>
      <c r="H26" s="368"/>
      <c r="J26" s="333">
        <f t="shared" si="23"/>
        <v>13</v>
      </c>
      <c r="L26" s="366">
        <f t="shared" si="24"/>
        <v>2027</v>
      </c>
      <c r="M26" s="386">
        <f t="shared" si="46"/>
        <v>0</v>
      </c>
      <c r="N26" s="387">
        <f t="shared" si="40"/>
        <v>3.8940000000000001</v>
      </c>
      <c r="O26" s="388">
        <f t="shared" si="0"/>
        <v>0</v>
      </c>
      <c r="P26" s="387">
        <f t="shared" si="1"/>
        <v>0</v>
      </c>
      <c r="Q26" s="389">
        <f t="shared" si="25"/>
        <v>0</v>
      </c>
      <c r="R26" s="390">
        <f t="shared" si="2"/>
        <v>0</v>
      </c>
      <c r="S26" s="372">
        <f t="shared" si="3"/>
        <v>0</v>
      </c>
      <c r="T26" s="389">
        <f t="shared" si="41"/>
        <v>160</v>
      </c>
      <c r="U26" s="391">
        <f t="shared" si="42"/>
        <v>0</v>
      </c>
      <c r="V26" s="386">
        <f t="shared" si="26"/>
        <v>0</v>
      </c>
      <c r="W26" s="392">
        <f t="shared" si="4"/>
        <v>2.7280000000000002</v>
      </c>
      <c r="X26" s="393">
        <f t="shared" si="5"/>
        <v>0</v>
      </c>
      <c r="Y26" s="393">
        <v>0</v>
      </c>
      <c r="Z26" s="393">
        <v>0</v>
      </c>
      <c r="AA26" s="389">
        <f t="shared" si="6"/>
        <v>0</v>
      </c>
      <c r="AB26" s="393">
        <f t="shared" si="7"/>
        <v>0</v>
      </c>
      <c r="AE26" s="366">
        <f t="shared" si="27"/>
        <v>2027</v>
      </c>
      <c r="AF26" s="393">
        <f t="shared" si="8"/>
        <v>0</v>
      </c>
      <c r="AG26" s="368">
        <f t="shared" si="9"/>
        <v>0</v>
      </c>
      <c r="AH26" s="393">
        <f t="shared" si="43"/>
        <v>0</v>
      </c>
      <c r="AJ26" s="394">
        <f t="shared" si="28"/>
        <v>0</v>
      </c>
      <c r="AK26" s="394">
        <f t="shared" si="28"/>
        <v>0</v>
      </c>
      <c r="AL26" s="395">
        <f t="shared" si="10"/>
        <v>0</v>
      </c>
      <c r="AN26" s="396">
        <f t="shared" si="11"/>
        <v>0</v>
      </c>
      <c r="AQ26" s="366">
        <f t="shared" si="29"/>
        <v>2027</v>
      </c>
      <c r="AR26" s="393">
        <f t="shared" si="12"/>
        <v>0</v>
      </c>
      <c r="AS26" s="393">
        <f t="shared" si="13"/>
        <v>0</v>
      </c>
      <c r="AT26" s="397">
        <f t="shared" si="14"/>
        <v>3.5999999999999997E-2</v>
      </c>
      <c r="AU26" s="398">
        <f t="shared" si="47"/>
        <v>0</v>
      </c>
      <c r="AV26" s="387">
        <f t="shared" si="15"/>
        <v>0.47</v>
      </c>
      <c r="AW26" s="393">
        <f t="shared" si="16"/>
        <v>0</v>
      </c>
      <c r="AX26" s="397"/>
      <c r="AY26" s="399"/>
      <c r="AZ26" s="393">
        <f t="shared" si="30"/>
        <v>0</v>
      </c>
      <c r="BA26" s="381"/>
      <c r="BB26" s="393">
        <v>0</v>
      </c>
      <c r="BC26" s="393">
        <v>0</v>
      </c>
      <c r="BD26" s="400">
        <f t="shared" si="31"/>
        <v>0</v>
      </c>
      <c r="BE26" s="393">
        <f t="shared" si="17"/>
        <v>0</v>
      </c>
      <c r="BH26" s="366">
        <f t="shared" si="32"/>
        <v>2027</v>
      </c>
      <c r="BI26" s="393">
        <v>0</v>
      </c>
      <c r="BJ26" s="369">
        <f t="shared" si="18"/>
        <v>0</v>
      </c>
      <c r="BK26" s="401">
        <f t="shared" si="19"/>
        <v>9.34</v>
      </c>
      <c r="BL26" s="393">
        <f t="shared" si="44"/>
        <v>0</v>
      </c>
      <c r="BM26" s="401">
        <f t="shared" si="20"/>
        <v>0.222</v>
      </c>
      <c r="BN26" s="398">
        <f t="shared" si="48"/>
        <v>0</v>
      </c>
      <c r="BO26" s="402"/>
      <c r="BP26" s="393">
        <f t="shared" si="21"/>
        <v>0</v>
      </c>
      <c r="BR26" s="393">
        <f t="shared" si="49"/>
        <v>0</v>
      </c>
      <c r="BS26" s="393"/>
      <c r="BT26" s="393">
        <f t="shared" si="33"/>
        <v>0</v>
      </c>
      <c r="BW26" s="366">
        <f t="shared" si="34"/>
        <v>2027</v>
      </c>
      <c r="BX26" s="393">
        <f t="shared" si="22"/>
        <v>0</v>
      </c>
      <c r="BY26" s="369">
        <f t="shared" si="35"/>
        <v>0</v>
      </c>
      <c r="BZ26" s="403">
        <f t="shared" si="36"/>
        <v>0</v>
      </c>
      <c r="CA26" s="393">
        <f t="shared" si="37"/>
        <v>0</v>
      </c>
      <c r="CC26" s="393">
        <f t="shared" si="38"/>
        <v>0</v>
      </c>
      <c r="CD26" s="393">
        <f t="shared" si="38"/>
        <v>0</v>
      </c>
      <c r="CE26" s="393">
        <f t="shared" si="39"/>
        <v>0</v>
      </c>
      <c r="CF26" s="393"/>
      <c r="CG26" s="393">
        <f t="shared" si="45"/>
        <v>0</v>
      </c>
      <c r="DB26" s="333"/>
    </row>
    <row r="27" spans="1:106">
      <c r="A27" s="185"/>
      <c r="C27" s="358"/>
      <c r="E27" s="185" t="s">
        <v>70</v>
      </c>
      <c r="F27" s="369">
        <f>+'Database Inputs'!H13</f>
        <v>0</v>
      </c>
      <c r="G27" s="369"/>
      <c r="H27" s="369"/>
      <c r="J27" s="333">
        <f t="shared" si="23"/>
        <v>14</v>
      </c>
      <c r="L27" s="366">
        <f t="shared" si="24"/>
        <v>2028</v>
      </c>
      <c r="M27" s="386">
        <f t="shared" si="46"/>
        <v>0</v>
      </c>
      <c r="N27" s="387">
        <f t="shared" si="40"/>
        <v>4.03</v>
      </c>
      <c r="O27" s="388">
        <f t="shared" si="0"/>
        <v>0</v>
      </c>
      <c r="P27" s="387">
        <f t="shared" si="1"/>
        <v>0</v>
      </c>
      <c r="Q27" s="389">
        <f t="shared" si="25"/>
        <v>0</v>
      </c>
      <c r="R27" s="390">
        <f t="shared" si="2"/>
        <v>0</v>
      </c>
      <c r="S27" s="372">
        <f t="shared" si="3"/>
        <v>0</v>
      </c>
      <c r="T27" s="389">
        <f t="shared" si="41"/>
        <v>162</v>
      </c>
      <c r="U27" s="391">
        <f t="shared" si="42"/>
        <v>0</v>
      </c>
      <c r="V27" s="386">
        <f t="shared" si="26"/>
        <v>0</v>
      </c>
      <c r="W27" s="392">
        <f t="shared" si="4"/>
        <v>2.823</v>
      </c>
      <c r="X27" s="393">
        <f t="shared" si="5"/>
        <v>0</v>
      </c>
      <c r="Y27" s="393">
        <v>0</v>
      </c>
      <c r="Z27" s="393">
        <v>0</v>
      </c>
      <c r="AA27" s="389">
        <f t="shared" si="6"/>
        <v>0</v>
      </c>
      <c r="AB27" s="393">
        <f t="shared" si="7"/>
        <v>0</v>
      </c>
      <c r="AE27" s="366">
        <f t="shared" si="27"/>
        <v>2028</v>
      </c>
      <c r="AF27" s="393">
        <f t="shared" si="8"/>
        <v>0</v>
      </c>
      <c r="AG27" s="368">
        <f t="shared" si="9"/>
        <v>0</v>
      </c>
      <c r="AH27" s="393">
        <f t="shared" si="43"/>
        <v>0</v>
      </c>
      <c r="AJ27" s="394">
        <f t="shared" si="28"/>
        <v>0</v>
      </c>
      <c r="AK27" s="394">
        <f t="shared" si="28"/>
        <v>0</v>
      </c>
      <c r="AL27" s="395">
        <f t="shared" si="10"/>
        <v>0</v>
      </c>
      <c r="AN27" s="396">
        <f t="shared" si="11"/>
        <v>0</v>
      </c>
      <c r="AQ27" s="366">
        <f t="shared" si="29"/>
        <v>2028</v>
      </c>
      <c r="AR27" s="393">
        <f t="shared" si="12"/>
        <v>0</v>
      </c>
      <c r="AS27" s="393">
        <f t="shared" si="13"/>
        <v>0</v>
      </c>
      <c r="AT27" s="397">
        <f t="shared" si="14"/>
        <v>3.6999999999999998E-2</v>
      </c>
      <c r="AU27" s="398">
        <f t="shared" si="47"/>
        <v>0</v>
      </c>
      <c r="AV27" s="387">
        <f t="shared" si="15"/>
        <v>0.48099999999999998</v>
      </c>
      <c r="AW27" s="393">
        <f t="shared" si="16"/>
        <v>0</v>
      </c>
      <c r="AX27" s="397"/>
      <c r="AY27" s="399"/>
      <c r="AZ27" s="393">
        <f t="shared" si="30"/>
        <v>0</v>
      </c>
      <c r="BA27" s="381"/>
      <c r="BB27" s="393">
        <v>0</v>
      </c>
      <c r="BC27" s="393">
        <v>0</v>
      </c>
      <c r="BD27" s="400">
        <f t="shared" si="31"/>
        <v>0</v>
      </c>
      <c r="BE27" s="393">
        <f t="shared" si="17"/>
        <v>0</v>
      </c>
      <c r="BH27" s="366">
        <f t="shared" si="32"/>
        <v>2028</v>
      </c>
      <c r="BI27" s="393">
        <v>0</v>
      </c>
      <c r="BJ27" s="369">
        <f t="shared" si="18"/>
        <v>0</v>
      </c>
      <c r="BK27" s="401">
        <f t="shared" si="19"/>
        <v>9.6669999999999998</v>
      </c>
      <c r="BL27" s="393">
        <f t="shared" si="44"/>
        <v>0</v>
      </c>
      <c r="BM27" s="401">
        <f t="shared" si="20"/>
        <v>0.23</v>
      </c>
      <c r="BN27" s="398">
        <f t="shared" si="48"/>
        <v>0</v>
      </c>
      <c r="BO27" s="402"/>
      <c r="BP27" s="393">
        <f t="shared" si="21"/>
        <v>0</v>
      </c>
      <c r="BR27" s="393">
        <f t="shared" si="49"/>
        <v>0</v>
      </c>
      <c r="BS27" s="393"/>
      <c r="BT27" s="393">
        <f t="shared" si="33"/>
        <v>0</v>
      </c>
      <c r="BW27" s="366">
        <f t="shared" si="34"/>
        <v>2028</v>
      </c>
      <c r="BX27" s="393">
        <f t="shared" si="22"/>
        <v>0</v>
      </c>
      <c r="BY27" s="369">
        <f t="shared" si="35"/>
        <v>0</v>
      </c>
      <c r="BZ27" s="403">
        <f t="shared" si="36"/>
        <v>0</v>
      </c>
      <c r="CA27" s="393">
        <f t="shared" si="37"/>
        <v>0</v>
      </c>
      <c r="CC27" s="393">
        <f t="shared" si="38"/>
        <v>0</v>
      </c>
      <c r="CD27" s="393">
        <f t="shared" si="38"/>
        <v>0</v>
      </c>
      <c r="CE27" s="393">
        <f t="shared" si="39"/>
        <v>0</v>
      </c>
      <c r="CF27" s="393"/>
      <c r="CG27" s="393">
        <f t="shared" si="45"/>
        <v>0</v>
      </c>
      <c r="DB27" s="333"/>
    </row>
    <row r="28" spans="1:106">
      <c r="A28" s="185" t="s">
        <v>71</v>
      </c>
      <c r="C28" s="365">
        <f>+'Gas Input Table Summary'!$D$19</f>
        <v>2.18E-2</v>
      </c>
      <c r="E28" s="185" t="s">
        <v>72</v>
      </c>
      <c r="F28" s="369">
        <v>0</v>
      </c>
      <c r="G28" s="369"/>
      <c r="H28" s="369"/>
      <c r="J28" s="333">
        <f t="shared" si="23"/>
        <v>15</v>
      </c>
      <c r="L28" s="366">
        <f t="shared" si="24"/>
        <v>2029</v>
      </c>
      <c r="M28" s="386">
        <f t="shared" si="46"/>
        <v>0</v>
      </c>
      <c r="N28" s="387">
        <f t="shared" si="40"/>
        <v>4.1710000000000003</v>
      </c>
      <c r="O28" s="388">
        <f t="shared" si="0"/>
        <v>0</v>
      </c>
      <c r="P28" s="387">
        <f t="shared" si="1"/>
        <v>0</v>
      </c>
      <c r="Q28" s="389">
        <f t="shared" si="25"/>
        <v>0</v>
      </c>
      <c r="R28" s="390">
        <f t="shared" si="2"/>
        <v>0</v>
      </c>
      <c r="S28" s="372">
        <f t="shared" si="3"/>
        <v>0</v>
      </c>
      <c r="T28" s="389">
        <f t="shared" si="41"/>
        <v>163</v>
      </c>
      <c r="U28" s="391">
        <f t="shared" si="42"/>
        <v>0</v>
      </c>
      <c r="V28" s="386">
        <f t="shared" si="26"/>
        <v>0</v>
      </c>
      <c r="W28" s="392">
        <f t="shared" si="4"/>
        <v>2.9220000000000002</v>
      </c>
      <c r="X28" s="393">
        <f t="shared" si="5"/>
        <v>0</v>
      </c>
      <c r="Y28" s="393">
        <v>0</v>
      </c>
      <c r="Z28" s="393">
        <v>0</v>
      </c>
      <c r="AA28" s="389">
        <f t="shared" si="6"/>
        <v>0</v>
      </c>
      <c r="AB28" s="393">
        <f t="shared" si="7"/>
        <v>0</v>
      </c>
      <c r="AE28" s="366">
        <f t="shared" si="27"/>
        <v>2029</v>
      </c>
      <c r="AF28" s="393">
        <f t="shared" si="8"/>
        <v>0</v>
      </c>
      <c r="AG28" s="368">
        <f t="shared" si="9"/>
        <v>0</v>
      </c>
      <c r="AH28" s="393">
        <f t="shared" si="43"/>
        <v>0</v>
      </c>
      <c r="AJ28" s="394">
        <f t="shared" si="28"/>
        <v>0</v>
      </c>
      <c r="AK28" s="394">
        <f t="shared" si="28"/>
        <v>0</v>
      </c>
      <c r="AL28" s="395">
        <f t="shared" si="10"/>
        <v>0</v>
      </c>
      <c r="AN28" s="396">
        <f t="shared" si="11"/>
        <v>0</v>
      </c>
      <c r="AQ28" s="366">
        <f t="shared" si="29"/>
        <v>2029</v>
      </c>
      <c r="AR28" s="393">
        <f t="shared" si="12"/>
        <v>0</v>
      </c>
      <c r="AS28" s="393">
        <f t="shared" si="13"/>
        <v>0</v>
      </c>
      <c r="AT28" s="397">
        <f t="shared" si="14"/>
        <v>3.7999999999999999E-2</v>
      </c>
      <c r="AU28" s="398">
        <f t="shared" si="47"/>
        <v>0</v>
      </c>
      <c r="AV28" s="387">
        <f t="shared" si="15"/>
        <v>0.49199999999999999</v>
      </c>
      <c r="AW28" s="393">
        <f t="shared" si="16"/>
        <v>0</v>
      </c>
      <c r="AX28" s="397"/>
      <c r="AY28" s="399"/>
      <c r="AZ28" s="393">
        <f t="shared" si="30"/>
        <v>0</v>
      </c>
      <c r="BA28" s="381"/>
      <c r="BB28" s="393">
        <v>0</v>
      </c>
      <c r="BC28" s="393">
        <v>0</v>
      </c>
      <c r="BD28" s="400">
        <f t="shared" si="31"/>
        <v>0</v>
      </c>
      <c r="BE28" s="393">
        <f t="shared" si="17"/>
        <v>0</v>
      </c>
      <c r="BH28" s="366">
        <f t="shared" si="32"/>
        <v>2029</v>
      </c>
      <c r="BI28" s="393">
        <v>0</v>
      </c>
      <c r="BJ28" s="369">
        <f t="shared" si="18"/>
        <v>0</v>
      </c>
      <c r="BK28" s="401">
        <f t="shared" si="19"/>
        <v>10.005000000000001</v>
      </c>
      <c r="BL28" s="393">
        <f t="shared" si="44"/>
        <v>0</v>
      </c>
      <c r="BM28" s="401">
        <f t="shared" si="20"/>
        <v>0.23799999999999999</v>
      </c>
      <c r="BN28" s="398">
        <f t="shared" si="48"/>
        <v>0</v>
      </c>
      <c r="BO28" s="402"/>
      <c r="BP28" s="393">
        <f t="shared" si="21"/>
        <v>0</v>
      </c>
      <c r="BR28" s="393">
        <f t="shared" si="49"/>
        <v>0</v>
      </c>
      <c r="BS28" s="393"/>
      <c r="BT28" s="393">
        <f t="shared" si="33"/>
        <v>0</v>
      </c>
      <c r="BW28" s="366">
        <f t="shared" si="34"/>
        <v>2029</v>
      </c>
      <c r="BX28" s="393">
        <f t="shared" si="22"/>
        <v>0</v>
      </c>
      <c r="BY28" s="369">
        <f t="shared" si="35"/>
        <v>0</v>
      </c>
      <c r="BZ28" s="403">
        <f t="shared" si="36"/>
        <v>0</v>
      </c>
      <c r="CA28" s="393">
        <f t="shared" si="37"/>
        <v>0</v>
      </c>
      <c r="CC28" s="393">
        <f t="shared" si="38"/>
        <v>0</v>
      </c>
      <c r="CD28" s="393">
        <f t="shared" si="38"/>
        <v>0</v>
      </c>
      <c r="CE28" s="393">
        <f t="shared" si="39"/>
        <v>0</v>
      </c>
      <c r="CF28" s="393"/>
      <c r="CG28" s="393">
        <f t="shared" si="45"/>
        <v>0</v>
      </c>
      <c r="DB28" s="333"/>
    </row>
    <row r="29" spans="1:106">
      <c r="A29" s="185" t="s">
        <v>47</v>
      </c>
      <c r="C29" s="358">
        <f>+'Gas Input Table Summary'!$D$20</f>
        <v>3.5000000000000003E-2</v>
      </c>
      <c r="E29" s="185"/>
      <c r="F29" s="369"/>
      <c r="G29" s="369"/>
      <c r="H29" s="369"/>
      <c r="J29" s="333">
        <f t="shared" si="23"/>
        <v>16</v>
      </c>
      <c r="L29" s="366">
        <f t="shared" si="24"/>
        <v>2030</v>
      </c>
      <c r="M29" s="386">
        <f t="shared" si="46"/>
        <v>0</v>
      </c>
      <c r="N29" s="387">
        <f t="shared" si="40"/>
        <v>4.3170000000000002</v>
      </c>
      <c r="O29" s="388">
        <f t="shared" si="0"/>
        <v>0</v>
      </c>
      <c r="P29" s="387">
        <f t="shared" si="1"/>
        <v>0</v>
      </c>
      <c r="Q29" s="389">
        <f t="shared" si="25"/>
        <v>0</v>
      </c>
      <c r="R29" s="390">
        <f t="shared" si="2"/>
        <v>0</v>
      </c>
      <c r="S29" s="372">
        <f t="shared" si="3"/>
        <v>0</v>
      </c>
      <c r="T29" s="389">
        <f t="shared" si="41"/>
        <v>165</v>
      </c>
      <c r="U29" s="391">
        <f t="shared" si="42"/>
        <v>0</v>
      </c>
      <c r="V29" s="386">
        <f t="shared" si="26"/>
        <v>0</v>
      </c>
      <c r="W29" s="392">
        <f t="shared" si="4"/>
        <v>3.024</v>
      </c>
      <c r="X29" s="393">
        <f t="shared" si="5"/>
        <v>0</v>
      </c>
      <c r="Y29" s="409">
        <v>0</v>
      </c>
      <c r="Z29" s="409">
        <v>0</v>
      </c>
      <c r="AA29" s="410">
        <f t="shared" si="6"/>
        <v>0</v>
      </c>
      <c r="AB29" s="409">
        <f t="shared" si="7"/>
        <v>0</v>
      </c>
      <c r="AE29" s="366">
        <f t="shared" si="27"/>
        <v>2030</v>
      </c>
      <c r="AF29" s="393">
        <f t="shared" si="8"/>
        <v>0</v>
      </c>
      <c r="AG29" s="368">
        <f t="shared" si="9"/>
        <v>0</v>
      </c>
      <c r="AH29" s="393">
        <f t="shared" si="43"/>
        <v>0</v>
      </c>
      <c r="AJ29" s="394">
        <f t="shared" si="28"/>
        <v>0</v>
      </c>
      <c r="AK29" s="394">
        <f t="shared" si="28"/>
        <v>0</v>
      </c>
      <c r="AL29" s="395">
        <f t="shared" si="10"/>
        <v>0</v>
      </c>
      <c r="AN29" s="396">
        <f t="shared" si="11"/>
        <v>0</v>
      </c>
      <c r="AQ29" s="366">
        <f t="shared" si="29"/>
        <v>2030</v>
      </c>
      <c r="AR29" s="409">
        <f t="shared" si="12"/>
        <v>0</v>
      </c>
      <c r="AS29" s="393">
        <f t="shared" si="13"/>
        <v>0</v>
      </c>
      <c r="AT29" s="397">
        <f t="shared" si="14"/>
        <v>0.04</v>
      </c>
      <c r="AU29" s="398">
        <f t="shared" si="47"/>
        <v>0</v>
      </c>
      <c r="AV29" s="387">
        <f t="shared" si="15"/>
        <v>0.504</v>
      </c>
      <c r="AW29" s="393">
        <f t="shared" si="16"/>
        <v>0</v>
      </c>
      <c r="AX29" s="397"/>
      <c r="AY29" s="399"/>
      <c r="AZ29" s="409">
        <f t="shared" si="30"/>
        <v>0</v>
      </c>
      <c r="BA29" s="381"/>
      <c r="BB29" s="409">
        <v>0</v>
      </c>
      <c r="BC29" s="393">
        <v>0</v>
      </c>
      <c r="BD29" s="400">
        <f t="shared" si="31"/>
        <v>0</v>
      </c>
      <c r="BE29" s="409">
        <f t="shared" si="17"/>
        <v>0</v>
      </c>
      <c r="BH29" s="366">
        <f t="shared" si="32"/>
        <v>2030</v>
      </c>
      <c r="BI29" s="393">
        <v>0</v>
      </c>
      <c r="BJ29" s="369">
        <f t="shared" si="18"/>
        <v>0</v>
      </c>
      <c r="BK29" s="401">
        <f t="shared" si="19"/>
        <v>10.355</v>
      </c>
      <c r="BL29" s="393">
        <f t="shared" si="44"/>
        <v>0</v>
      </c>
      <c r="BM29" s="401">
        <f t="shared" si="20"/>
        <v>0.246</v>
      </c>
      <c r="BN29" s="398">
        <f t="shared" si="48"/>
        <v>0</v>
      </c>
      <c r="BO29" s="402"/>
      <c r="BP29" s="393">
        <f t="shared" si="21"/>
        <v>0</v>
      </c>
      <c r="BR29" s="393">
        <f t="shared" si="49"/>
        <v>0</v>
      </c>
      <c r="BS29" s="393"/>
      <c r="BT29" s="393">
        <f t="shared" si="33"/>
        <v>0</v>
      </c>
      <c r="BW29" s="366">
        <f t="shared" si="34"/>
        <v>2030</v>
      </c>
      <c r="BX29" s="393">
        <f t="shared" si="22"/>
        <v>0</v>
      </c>
      <c r="BY29" s="369">
        <f t="shared" si="35"/>
        <v>0</v>
      </c>
      <c r="BZ29" s="403">
        <f t="shared" si="36"/>
        <v>0</v>
      </c>
      <c r="CA29" s="393">
        <f t="shared" si="37"/>
        <v>0</v>
      </c>
      <c r="CC29" s="393">
        <f t="shared" si="38"/>
        <v>0</v>
      </c>
      <c r="CD29" s="393">
        <f t="shared" si="38"/>
        <v>0</v>
      </c>
      <c r="CE29" s="393">
        <f t="shared" si="39"/>
        <v>0</v>
      </c>
      <c r="CF29" s="393"/>
      <c r="CG29" s="393">
        <f t="shared" si="45"/>
        <v>0</v>
      </c>
      <c r="DB29" s="333"/>
    </row>
    <row r="30" spans="1:106">
      <c r="E30" s="185" t="s">
        <v>73</v>
      </c>
      <c r="F30" s="196">
        <f>+'Total Program Inputs'!C14</f>
        <v>152</v>
      </c>
      <c r="G30" s="196"/>
      <c r="H30" s="196"/>
      <c r="J30" s="333">
        <f t="shared" si="23"/>
        <v>17</v>
      </c>
      <c r="L30" s="366">
        <f t="shared" si="24"/>
        <v>2031</v>
      </c>
      <c r="M30" s="386">
        <f t="shared" si="46"/>
        <v>0</v>
      </c>
      <c r="N30" s="387">
        <f t="shared" si="40"/>
        <v>4.468</v>
      </c>
      <c r="O30" s="388">
        <f t="shared" si="0"/>
        <v>0</v>
      </c>
      <c r="P30" s="387">
        <f t="shared" si="1"/>
        <v>0</v>
      </c>
      <c r="Q30" s="389">
        <f t="shared" si="25"/>
        <v>0</v>
      </c>
      <c r="R30" s="390">
        <f t="shared" si="2"/>
        <v>0</v>
      </c>
      <c r="S30" s="372">
        <f t="shared" si="3"/>
        <v>0</v>
      </c>
      <c r="T30" s="389">
        <f t="shared" si="41"/>
        <v>167</v>
      </c>
      <c r="U30" s="391">
        <f t="shared" si="42"/>
        <v>0</v>
      </c>
      <c r="V30" s="386">
        <f t="shared" si="26"/>
        <v>0</v>
      </c>
      <c r="W30" s="392">
        <f t="shared" si="4"/>
        <v>3.13</v>
      </c>
      <c r="X30" s="393">
        <f t="shared" si="5"/>
        <v>0</v>
      </c>
      <c r="Y30" s="409">
        <v>0</v>
      </c>
      <c r="Z30" s="409">
        <v>0</v>
      </c>
      <c r="AA30" s="410">
        <f t="shared" si="6"/>
        <v>0</v>
      </c>
      <c r="AB30" s="409">
        <f t="shared" si="7"/>
        <v>0</v>
      </c>
      <c r="AE30" s="366">
        <f t="shared" si="27"/>
        <v>2031</v>
      </c>
      <c r="AF30" s="393">
        <f t="shared" si="8"/>
        <v>0</v>
      </c>
      <c r="AG30" s="368">
        <f t="shared" si="9"/>
        <v>0</v>
      </c>
      <c r="AH30" s="393">
        <f t="shared" si="43"/>
        <v>0</v>
      </c>
      <c r="AJ30" s="394">
        <f t="shared" si="28"/>
        <v>0</v>
      </c>
      <c r="AK30" s="394">
        <f t="shared" si="28"/>
        <v>0</v>
      </c>
      <c r="AL30" s="395">
        <f t="shared" si="10"/>
        <v>0</v>
      </c>
      <c r="AN30" s="396">
        <f t="shared" si="11"/>
        <v>0</v>
      </c>
      <c r="AQ30" s="366">
        <f t="shared" si="29"/>
        <v>2031</v>
      </c>
      <c r="AR30" s="409">
        <f t="shared" si="12"/>
        <v>0</v>
      </c>
      <c r="AS30" s="393">
        <f t="shared" si="13"/>
        <v>0</v>
      </c>
      <c r="AT30" s="397">
        <f t="shared" si="14"/>
        <v>4.1000000000000002E-2</v>
      </c>
      <c r="AU30" s="398">
        <f t="shared" si="47"/>
        <v>0</v>
      </c>
      <c r="AV30" s="387">
        <f t="shared" si="15"/>
        <v>0.51500000000000001</v>
      </c>
      <c r="AW30" s="393">
        <f t="shared" si="16"/>
        <v>0</v>
      </c>
      <c r="AX30" s="397"/>
      <c r="AY30" s="399"/>
      <c r="AZ30" s="409">
        <f t="shared" si="30"/>
        <v>0</v>
      </c>
      <c r="BA30" s="381"/>
      <c r="BB30" s="409">
        <v>0</v>
      </c>
      <c r="BC30" s="393">
        <v>0</v>
      </c>
      <c r="BD30" s="400">
        <f t="shared" si="31"/>
        <v>0</v>
      </c>
      <c r="BE30" s="409">
        <f t="shared" si="17"/>
        <v>0</v>
      </c>
      <c r="BH30" s="366">
        <f t="shared" si="32"/>
        <v>2031</v>
      </c>
      <c r="BI30" s="393">
        <v>0</v>
      </c>
      <c r="BJ30" s="369">
        <f t="shared" si="18"/>
        <v>0</v>
      </c>
      <c r="BK30" s="401">
        <f t="shared" si="19"/>
        <v>10.718</v>
      </c>
      <c r="BL30" s="393">
        <f t="shared" si="44"/>
        <v>0</v>
      </c>
      <c r="BM30" s="401">
        <f t="shared" si="20"/>
        <v>0.255</v>
      </c>
      <c r="BN30" s="398">
        <f t="shared" si="48"/>
        <v>0</v>
      </c>
      <c r="BO30" s="402"/>
      <c r="BP30" s="393">
        <f t="shared" si="21"/>
        <v>0</v>
      </c>
      <c r="BR30" s="393">
        <f t="shared" si="49"/>
        <v>0</v>
      </c>
      <c r="BS30" s="393"/>
      <c r="BT30" s="393">
        <f t="shared" si="33"/>
        <v>0</v>
      </c>
      <c r="BW30" s="366">
        <f t="shared" si="34"/>
        <v>2031</v>
      </c>
      <c r="BX30" s="393">
        <f t="shared" si="22"/>
        <v>0</v>
      </c>
      <c r="BY30" s="369">
        <f t="shared" si="35"/>
        <v>0</v>
      </c>
      <c r="BZ30" s="403">
        <f t="shared" si="36"/>
        <v>0</v>
      </c>
      <c r="CA30" s="393">
        <f t="shared" si="37"/>
        <v>0</v>
      </c>
      <c r="CC30" s="393">
        <f t="shared" si="38"/>
        <v>0</v>
      </c>
      <c r="CD30" s="393">
        <f t="shared" si="38"/>
        <v>0</v>
      </c>
      <c r="CE30" s="393">
        <f t="shared" si="39"/>
        <v>0</v>
      </c>
      <c r="CF30" s="393"/>
      <c r="CG30" s="393">
        <f t="shared" si="45"/>
        <v>0</v>
      </c>
      <c r="DB30" s="333">
        <f>$J18</f>
        <v>5</v>
      </c>
    </row>
    <row r="31" spans="1:106">
      <c r="A31" s="187" t="s">
        <v>74</v>
      </c>
      <c r="C31" s="361">
        <f>+'Gas Input Table Summary'!$D$21</f>
        <v>5.0999999999999997E-2</v>
      </c>
      <c r="F31" s="368"/>
      <c r="G31" s="368"/>
      <c r="H31" s="368"/>
      <c r="J31" s="333">
        <f t="shared" si="23"/>
        <v>18</v>
      </c>
      <c r="L31" s="366">
        <f t="shared" si="24"/>
        <v>2032</v>
      </c>
      <c r="M31" s="386">
        <f t="shared" si="46"/>
        <v>0</v>
      </c>
      <c r="N31" s="387">
        <f t="shared" si="40"/>
        <v>4.625</v>
      </c>
      <c r="O31" s="388">
        <f t="shared" si="0"/>
        <v>0</v>
      </c>
      <c r="P31" s="387">
        <f t="shared" si="1"/>
        <v>0</v>
      </c>
      <c r="Q31" s="389">
        <f t="shared" si="25"/>
        <v>0</v>
      </c>
      <c r="R31" s="390">
        <f t="shared" si="2"/>
        <v>0</v>
      </c>
      <c r="S31" s="372">
        <f t="shared" si="3"/>
        <v>0</v>
      </c>
      <c r="T31" s="389">
        <f t="shared" si="41"/>
        <v>168</v>
      </c>
      <c r="U31" s="391">
        <f t="shared" si="42"/>
        <v>0</v>
      </c>
      <c r="V31" s="386">
        <f t="shared" si="26"/>
        <v>0</v>
      </c>
      <c r="W31" s="392">
        <f t="shared" si="4"/>
        <v>3.2389999999999999</v>
      </c>
      <c r="X31" s="393">
        <f t="shared" si="5"/>
        <v>0</v>
      </c>
      <c r="Y31" s="409">
        <v>0</v>
      </c>
      <c r="Z31" s="409">
        <v>0</v>
      </c>
      <c r="AA31" s="410">
        <f t="shared" si="6"/>
        <v>0</v>
      </c>
      <c r="AB31" s="409">
        <f t="shared" si="7"/>
        <v>0</v>
      </c>
      <c r="AE31" s="366">
        <f t="shared" si="27"/>
        <v>2032</v>
      </c>
      <c r="AF31" s="393">
        <f t="shared" si="8"/>
        <v>0</v>
      </c>
      <c r="AG31" s="368">
        <f t="shared" si="9"/>
        <v>0</v>
      </c>
      <c r="AH31" s="393">
        <f t="shared" si="43"/>
        <v>0</v>
      </c>
      <c r="AJ31" s="394">
        <f t="shared" si="28"/>
        <v>0</v>
      </c>
      <c r="AK31" s="394">
        <f t="shared" si="28"/>
        <v>0</v>
      </c>
      <c r="AL31" s="395">
        <f t="shared" si="10"/>
        <v>0</v>
      </c>
      <c r="AN31" s="396">
        <f t="shared" si="11"/>
        <v>0</v>
      </c>
      <c r="AQ31" s="366">
        <f t="shared" si="29"/>
        <v>2032</v>
      </c>
      <c r="AR31" s="409">
        <f t="shared" si="12"/>
        <v>0</v>
      </c>
      <c r="AS31" s="393">
        <f t="shared" si="13"/>
        <v>0</v>
      </c>
      <c r="AT31" s="397">
        <f t="shared" si="14"/>
        <v>4.2999999999999997E-2</v>
      </c>
      <c r="AU31" s="398">
        <f t="shared" si="47"/>
        <v>0</v>
      </c>
      <c r="AV31" s="387">
        <f t="shared" si="15"/>
        <v>0.52700000000000002</v>
      </c>
      <c r="AW31" s="393">
        <f t="shared" si="16"/>
        <v>0</v>
      </c>
      <c r="AX31" s="397"/>
      <c r="AY31" s="399"/>
      <c r="AZ31" s="409">
        <f t="shared" si="30"/>
        <v>0</v>
      </c>
      <c r="BA31" s="381"/>
      <c r="BB31" s="409">
        <v>0</v>
      </c>
      <c r="BC31" s="393">
        <v>0</v>
      </c>
      <c r="BD31" s="400">
        <f t="shared" si="31"/>
        <v>0</v>
      </c>
      <c r="BE31" s="409">
        <f t="shared" si="17"/>
        <v>0</v>
      </c>
      <c r="BH31" s="366">
        <f t="shared" si="32"/>
        <v>2032</v>
      </c>
      <c r="BI31" s="393">
        <v>0</v>
      </c>
      <c r="BJ31" s="369">
        <f t="shared" si="18"/>
        <v>0</v>
      </c>
      <c r="BK31" s="401">
        <f t="shared" si="19"/>
        <v>11.093</v>
      </c>
      <c r="BL31" s="393">
        <f t="shared" si="44"/>
        <v>0</v>
      </c>
      <c r="BM31" s="401">
        <f t="shared" si="20"/>
        <v>0.26400000000000001</v>
      </c>
      <c r="BN31" s="398">
        <f t="shared" si="48"/>
        <v>0</v>
      </c>
      <c r="BO31" s="402"/>
      <c r="BP31" s="393">
        <f t="shared" si="21"/>
        <v>0</v>
      </c>
      <c r="BR31" s="393">
        <f t="shared" si="49"/>
        <v>0</v>
      </c>
      <c r="BS31" s="393"/>
      <c r="BT31" s="393">
        <f t="shared" si="33"/>
        <v>0</v>
      </c>
      <c r="BW31" s="366">
        <f t="shared" si="34"/>
        <v>2032</v>
      </c>
      <c r="BX31" s="393">
        <f t="shared" si="22"/>
        <v>0</v>
      </c>
      <c r="BY31" s="369">
        <f t="shared" si="35"/>
        <v>0</v>
      </c>
      <c r="BZ31" s="403">
        <f t="shared" si="36"/>
        <v>0</v>
      </c>
      <c r="CA31" s="393">
        <f t="shared" si="37"/>
        <v>0</v>
      </c>
      <c r="CC31" s="393">
        <f t="shared" si="38"/>
        <v>0</v>
      </c>
      <c r="CD31" s="393">
        <f t="shared" si="38"/>
        <v>0</v>
      </c>
      <c r="CE31" s="393">
        <f t="shared" si="39"/>
        <v>0</v>
      </c>
      <c r="CF31" s="393"/>
      <c r="CG31" s="393">
        <f t="shared" si="45"/>
        <v>0</v>
      </c>
      <c r="DB31" s="333">
        <f>$J19</f>
        <v>6</v>
      </c>
    </row>
    <row r="32" spans="1:106">
      <c r="E32" s="193" t="s">
        <v>103</v>
      </c>
      <c r="F32" s="411">
        <f>+'Total Program Inputs'!E14</f>
        <v>441</v>
      </c>
      <c r="G32" s="408"/>
      <c r="H32" s="408"/>
      <c r="J32" s="333">
        <f t="shared" si="23"/>
        <v>19</v>
      </c>
      <c r="L32" s="366">
        <f t="shared" si="24"/>
        <v>2033</v>
      </c>
      <c r="M32" s="386">
        <f t="shared" si="46"/>
        <v>0</v>
      </c>
      <c r="N32" s="387">
        <f t="shared" si="40"/>
        <v>4.7869999999999999</v>
      </c>
      <c r="O32" s="388">
        <f t="shared" si="0"/>
        <v>0</v>
      </c>
      <c r="P32" s="387">
        <f t="shared" si="1"/>
        <v>0</v>
      </c>
      <c r="Q32" s="389">
        <f t="shared" si="25"/>
        <v>0</v>
      </c>
      <c r="R32" s="390">
        <f t="shared" si="2"/>
        <v>0</v>
      </c>
      <c r="S32" s="372">
        <f t="shared" si="3"/>
        <v>0</v>
      </c>
      <c r="T32" s="389">
        <f t="shared" si="41"/>
        <v>170</v>
      </c>
      <c r="U32" s="391">
        <f t="shared" si="42"/>
        <v>0</v>
      </c>
      <c r="V32" s="386">
        <f t="shared" si="26"/>
        <v>0</v>
      </c>
      <c r="W32" s="392">
        <f t="shared" si="4"/>
        <v>3.3530000000000002</v>
      </c>
      <c r="X32" s="393">
        <f t="shared" si="5"/>
        <v>0</v>
      </c>
      <c r="Y32" s="409">
        <v>0</v>
      </c>
      <c r="Z32" s="409">
        <v>0</v>
      </c>
      <c r="AA32" s="410">
        <f t="shared" si="6"/>
        <v>0</v>
      </c>
      <c r="AB32" s="409">
        <f t="shared" si="7"/>
        <v>0</v>
      </c>
      <c r="AE32" s="366">
        <f t="shared" si="27"/>
        <v>2033</v>
      </c>
      <c r="AF32" s="393">
        <f t="shared" si="8"/>
        <v>0</v>
      </c>
      <c r="AG32" s="368">
        <f t="shared" si="9"/>
        <v>0</v>
      </c>
      <c r="AH32" s="393">
        <f t="shared" si="43"/>
        <v>0</v>
      </c>
      <c r="AJ32" s="394">
        <f t="shared" si="28"/>
        <v>0</v>
      </c>
      <c r="AK32" s="394">
        <f t="shared" si="28"/>
        <v>0</v>
      </c>
      <c r="AL32" s="395">
        <f t="shared" si="10"/>
        <v>0</v>
      </c>
      <c r="AN32" s="396">
        <f t="shared" si="11"/>
        <v>0</v>
      </c>
      <c r="AQ32" s="366">
        <f t="shared" si="29"/>
        <v>2033</v>
      </c>
      <c r="AR32" s="409">
        <f t="shared" si="12"/>
        <v>0</v>
      </c>
      <c r="AS32" s="393">
        <f t="shared" si="13"/>
        <v>0</v>
      </c>
      <c r="AT32" s="397">
        <f t="shared" si="14"/>
        <v>4.3999999999999997E-2</v>
      </c>
      <c r="AU32" s="398">
        <f t="shared" si="47"/>
        <v>0</v>
      </c>
      <c r="AV32" s="387">
        <f t="shared" si="15"/>
        <v>0.53900000000000003</v>
      </c>
      <c r="AW32" s="393">
        <f t="shared" si="16"/>
        <v>0</v>
      </c>
      <c r="AX32" s="397"/>
      <c r="AY32" s="399"/>
      <c r="AZ32" s="409">
        <f t="shared" si="30"/>
        <v>0</v>
      </c>
      <c r="BA32" s="381"/>
      <c r="BB32" s="409">
        <v>0</v>
      </c>
      <c r="BC32" s="393">
        <v>0</v>
      </c>
      <c r="BD32" s="400">
        <f t="shared" si="31"/>
        <v>0</v>
      </c>
      <c r="BE32" s="409">
        <f t="shared" si="17"/>
        <v>0</v>
      </c>
      <c r="BH32" s="366">
        <f t="shared" si="32"/>
        <v>2033</v>
      </c>
      <c r="BI32" s="393">
        <v>0</v>
      </c>
      <c r="BJ32" s="369">
        <f t="shared" si="18"/>
        <v>0</v>
      </c>
      <c r="BK32" s="401">
        <f t="shared" si="19"/>
        <v>11.481</v>
      </c>
      <c r="BL32" s="393">
        <f t="shared" si="44"/>
        <v>0</v>
      </c>
      <c r="BM32" s="401">
        <f t="shared" si="20"/>
        <v>0.27300000000000002</v>
      </c>
      <c r="BN32" s="398">
        <f t="shared" si="48"/>
        <v>0</v>
      </c>
      <c r="BO32" s="402"/>
      <c r="BP32" s="393">
        <f t="shared" si="21"/>
        <v>0</v>
      </c>
      <c r="BR32" s="393">
        <f t="shared" si="49"/>
        <v>0</v>
      </c>
      <c r="BS32" s="393"/>
      <c r="BT32" s="393">
        <f t="shared" si="33"/>
        <v>0</v>
      </c>
      <c r="BW32" s="366">
        <f t="shared" si="34"/>
        <v>2033</v>
      </c>
      <c r="BX32" s="393">
        <f t="shared" si="22"/>
        <v>0</v>
      </c>
      <c r="BY32" s="369">
        <f t="shared" si="35"/>
        <v>0</v>
      </c>
      <c r="BZ32" s="403">
        <f t="shared" si="36"/>
        <v>0</v>
      </c>
      <c r="CA32" s="393">
        <f t="shared" si="37"/>
        <v>0</v>
      </c>
      <c r="CC32" s="393">
        <f t="shared" si="38"/>
        <v>0</v>
      </c>
      <c r="CD32" s="393">
        <f t="shared" si="38"/>
        <v>0</v>
      </c>
      <c r="CE32" s="393">
        <f t="shared" si="39"/>
        <v>0</v>
      </c>
      <c r="CF32" s="393"/>
      <c r="CG32" s="393">
        <f t="shared" si="45"/>
        <v>0</v>
      </c>
      <c r="DB32" s="333">
        <f>$J20</f>
        <v>7</v>
      </c>
    </row>
    <row r="33" spans="1:106">
      <c r="A33" s="187" t="s">
        <v>75</v>
      </c>
      <c r="C33" s="356">
        <f>+'Gas Input Table Summary'!$D$22</f>
        <v>0.35</v>
      </c>
      <c r="F33" s="368"/>
      <c r="G33" s="368"/>
      <c r="H33" s="368"/>
      <c r="J33" s="333">
        <f t="shared" si="23"/>
        <v>20</v>
      </c>
      <c r="L33" s="366">
        <f t="shared" si="24"/>
        <v>2034</v>
      </c>
      <c r="M33" s="386">
        <f t="shared" si="46"/>
        <v>0</v>
      </c>
      <c r="N33" s="387">
        <f t="shared" si="40"/>
        <v>4.9539999999999997</v>
      </c>
      <c r="O33" s="388">
        <f t="shared" si="0"/>
        <v>0</v>
      </c>
      <c r="P33" s="387">
        <f t="shared" si="1"/>
        <v>0</v>
      </c>
      <c r="Q33" s="389">
        <f t="shared" si="25"/>
        <v>0</v>
      </c>
      <c r="R33" s="390">
        <f t="shared" si="2"/>
        <v>0</v>
      </c>
      <c r="S33" s="372">
        <f t="shared" si="3"/>
        <v>0</v>
      </c>
      <c r="T33" s="389">
        <f t="shared" si="41"/>
        <v>172</v>
      </c>
      <c r="U33" s="391">
        <f t="shared" si="42"/>
        <v>0</v>
      </c>
      <c r="V33" s="386">
        <f t="shared" si="26"/>
        <v>0</v>
      </c>
      <c r="W33" s="392">
        <f t="shared" si="4"/>
        <v>3.47</v>
      </c>
      <c r="X33" s="393">
        <f t="shared" si="5"/>
        <v>0</v>
      </c>
      <c r="Y33" s="409">
        <v>0</v>
      </c>
      <c r="Z33" s="409">
        <v>0</v>
      </c>
      <c r="AA33" s="410">
        <f t="shared" si="6"/>
        <v>0</v>
      </c>
      <c r="AB33" s="409">
        <f t="shared" si="7"/>
        <v>0</v>
      </c>
      <c r="AE33" s="366">
        <f t="shared" si="27"/>
        <v>2034</v>
      </c>
      <c r="AF33" s="393">
        <f t="shared" si="8"/>
        <v>0</v>
      </c>
      <c r="AG33" s="368">
        <f t="shared" si="9"/>
        <v>0</v>
      </c>
      <c r="AH33" s="393">
        <f t="shared" si="43"/>
        <v>0</v>
      </c>
      <c r="AJ33" s="394">
        <f t="shared" si="28"/>
        <v>0</v>
      </c>
      <c r="AK33" s="394">
        <f t="shared" si="28"/>
        <v>0</v>
      </c>
      <c r="AL33" s="395">
        <f t="shared" si="10"/>
        <v>0</v>
      </c>
      <c r="AN33" s="396">
        <f t="shared" si="11"/>
        <v>0</v>
      </c>
      <c r="AQ33" s="366">
        <f t="shared" si="29"/>
        <v>2034</v>
      </c>
      <c r="AR33" s="409">
        <f t="shared" si="12"/>
        <v>0</v>
      </c>
      <c r="AS33" s="393">
        <f t="shared" si="13"/>
        <v>0</v>
      </c>
      <c r="AT33" s="397">
        <f t="shared" si="14"/>
        <v>4.5999999999999999E-2</v>
      </c>
      <c r="AU33" s="398">
        <f t="shared" si="47"/>
        <v>0</v>
      </c>
      <c r="AV33" s="387">
        <f t="shared" si="15"/>
        <v>0.55200000000000005</v>
      </c>
      <c r="AW33" s="393">
        <f t="shared" si="16"/>
        <v>0</v>
      </c>
      <c r="AX33" s="397"/>
      <c r="AY33" s="399"/>
      <c r="AZ33" s="409">
        <f t="shared" si="30"/>
        <v>0</v>
      </c>
      <c r="BA33" s="381"/>
      <c r="BB33" s="409">
        <v>0</v>
      </c>
      <c r="BC33" s="393">
        <v>0</v>
      </c>
      <c r="BD33" s="400">
        <f t="shared" si="31"/>
        <v>0</v>
      </c>
      <c r="BE33" s="409">
        <f t="shared" si="17"/>
        <v>0</v>
      </c>
      <c r="BH33" s="366">
        <f t="shared" si="32"/>
        <v>2034</v>
      </c>
      <c r="BI33" s="393">
        <v>0</v>
      </c>
      <c r="BJ33" s="369">
        <f t="shared" si="18"/>
        <v>0</v>
      </c>
      <c r="BK33" s="401">
        <f t="shared" si="19"/>
        <v>11.882999999999999</v>
      </c>
      <c r="BL33" s="393">
        <f t="shared" si="44"/>
        <v>0</v>
      </c>
      <c r="BM33" s="401">
        <f t="shared" si="20"/>
        <v>0.28299999999999997</v>
      </c>
      <c r="BN33" s="398">
        <f t="shared" si="48"/>
        <v>0</v>
      </c>
      <c r="BO33" s="398"/>
      <c r="BP33" s="393">
        <f t="shared" si="21"/>
        <v>0</v>
      </c>
      <c r="BR33" s="393">
        <f t="shared" si="49"/>
        <v>0</v>
      </c>
      <c r="BS33" s="393"/>
      <c r="BT33" s="393">
        <f t="shared" si="33"/>
        <v>0</v>
      </c>
      <c r="BW33" s="366">
        <f t="shared" si="34"/>
        <v>2034</v>
      </c>
      <c r="BX33" s="393">
        <f t="shared" si="22"/>
        <v>0</v>
      </c>
      <c r="BY33" s="369">
        <f t="shared" si="35"/>
        <v>0</v>
      </c>
      <c r="BZ33" s="403">
        <f t="shared" si="36"/>
        <v>0</v>
      </c>
      <c r="CA33" s="393">
        <f t="shared" si="37"/>
        <v>0</v>
      </c>
      <c r="CC33" s="393">
        <f t="shared" si="38"/>
        <v>0</v>
      </c>
      <c r="CD33" s="393">
        <f t="shared" si="38"/>
        <v>0</v>
      </c>
      <c r="CE33" s="393">
        <f t="shared" si="39"/>
        <v>0</v>
      </c>
      <c r="CF33" s="393"/>
      <c r="CG33" s="393">
        <f t="shared" si="45"/>
        <v>0</v>
      </c>
      <c r="DB33" s="333"/>
    </row>
    <row r="34" spans="1:106">
      <c r="A34" s="185" t="s">
        <v>18</v>
      </c>
      <c r="C34" s="358">
        <f>+'Gas Input Table Summary'!$D$23</f>
        <v>2.3E-2</v>
      </c>
      <c r="E34" s="187" t="s">
        <v>76</v>
      </c>
      <c r="F34" s="357">
        <f>+ROUND(F12/F30,0)</f>
        <v>20</v>
      </c>
      <c r="G34" s="357"/>
      <c r="H34" s="357"/>
      <c r="J34" s="333">
        <f t="shared" si="23"/>
        <v>21</v>
      </c>
      <c r="L34" s="366">
        <f t="shared" si="24"/>
        <v>2035</v>
      </c>
      <c r="M34" s="412">
        <f t="shared" si="46"/>
        <v>0</v>
      </c>
      <c r="N34" s="387">
        <f t="shared" si="40"/>
        <v>5.1280000000000001</v>
      </c>
      <c r="O34" s="394">
        <f t="shared" si="0"/>
        <v>0</v>
      </c>
      <c r="P34" s="413">
        <f t="shared" si="1"/>
        <v>0</v>
      </c>
      <c r="Q34" s="410">
        <f t="shared" si="25"/>
        <v>0</v>
      </c>
      <c r="R34" s="414">
        <f t="shared" si="2"/>
        <v>0</v>
      </c>
      <c r="S34" s="415">
        <f t="shared" si="3"/>
        <v>0</v>
      </c>
      <c r="T34" s="389">
        <f t="shared" si="41"/>
        <v>174</v>
      </c>
      <c r="U34" s="416">
        <f t="shared" si="42"/>
        <v>0</v>
      </c>
      <c r="V34" s="412">
        <f t="shared" si="26"/>
        <v>0</v>
      </c>
      <c r="W34" s="392">
        <f t="shared" si="4"/>
        <v>3.5920000000000001</v>
      </c>
      <c r="X34" s="409">
        <f t="shared" si="5"/>
        <v>0</v>
      </c>
      <c r="Y34" s="409">
        <v>0</v>
      </c>
      <c r="Z34" s="409">
        <v>0</v>
      </c>
      <c r="AA34" s="417">
        <f t="shared" si="6"/>
        <v>0</v>
      </c>
      <c r="AB34" s="418">
        <f t="shared" si="7"/>
        <v>0</v>
      </c>
      <c r="AE34" s="366">
        <f t="shared" si="27"/>
        <v>2035</v>
      </c>
      <c r="AF34" s="409">
        <f t="shared" si="8"/>
        <v>0</v>
      </c>
      <c r="AG34" s="419">
        <f t="shared" si="9"/>
        <v>0</v>
      </c>
      <c r="AH34" s="418">
        <f t="shared" si="43"/>
        <v>0</v>
      </c>
      <c r="AJ34" s="394">
        <f t="shared" si="28"/>
        <v>0</v>
      </c>
      <c r="AK34" s="394">
        <f t="shared" si="28"/>
        <v>0</v>
      </c>
      <c r="AL34" s="420">
        <f t="shared" si="10"/>
        <v>0</v>
      </c>
      <c r="AN34" s="421">
        <f t="shared" si="11"/>
        <v>0</v>
      </c>
      <c r="AQ34" s="366">
        <f t="shared" si="29"/>
        <v>2035</v>
      </c>
      <c r="AR34" s="409">
        <f t="shared" si="12"/>
        <v>0</v>
      </c>
      <c r="AS34" s="409">
        <f t="shared" si="13"/>
        <v>0</v>
      </c>
      <c r="AT34" s="422">
        <f t="shared" si="14"/>
        <v>4.7E-2</v>
      </c>
      <c r="AU34" s="398">
        <f t="shared" si="47"/>
        <v>0</v>
      </c>
      <c r="AV34" s="413">
        <f t="shared" si="15"/>
        <v>0.56399999999999995</v>
      </c>
      <c r="AW34" s="409">
        <f t="shared" si="16"/>
        <v>0</v>
      </c>
      <c r="AX34" s="397"/>
      <c r="AY34" s="423"/>
      <c r="AZ34" s="418">
        <f t="shared" si="30"/>
        <v>0</v>
      </c>
      <c r="BA34" s="381"/>
      <c r="BB34" s="409">
        <v>0</v>
      </c>
      <c r="BC34" s="409">
        <v>0</v>
      </c>
      <c r="BD34" s="424">
        <f t="shared" si="31"/>
        <v>0</v>
      </c>
      <c r="BE34" s="418">
        <f t="shared" si="17"/>
        <v>0</v>
      </c>
      <c r="BH34" s="366">
        <f t="shared" si="32"/>
        <v>2035</v>
      </c>
      <c r="BI34" s="409">
        <v>0</v>
      </c>
      <c r="BJ34" s="412">
        <f t="shared" si="18"/>
        <v>0</v>
      </c>
      <c r="BK34" s="401">
        <f t="shared" si="19"/>
        <v>12.298999999999999</v>
      </c>
      <c r="BL34" s="409">
        <f t="shared" si="44"/>
        <v>0</v>
      </c>
      <c r="BM34" s="401">
        <f t="shared" si="20"/>
        <v>0.29299999999999998</v>
      </c>
      <c r="BN34" s="398">
        <f t="shared" si="48"/>
        <v>0</v>
      </c>
      <c r="BO34" s="425"/>
      <c r="BP34" s="418">
        <f t="shared" si="21"/>
        <v>0</v>
      </c>
      <c r="BR34" s="418">
        <f t="shared" si="49"/>
        <v>0</v>
      </c>
      <c r="BS34" s="418"/>
      <c r="BT34" s="418">
        <f t="shared" si="33"/>
        <v>0</v>
      </c>
      <c r="BW34" s="366">
        <f t="shared" si="34"/>
        <v>2035</v>
      </c>
      <c r="BX34" s="409">
        <f t="shared" si="22"/>
        <v>0</v>
      </c>
      <c r="BY34" s="369">
        <f t="shared" si="35"/>
        <v>0</v>
      </c>
      <c r="BZ34" s="403">
        <f t="shared" si="36"/>
        <v>0</v>
      </c>
      <c r="CA34" s="418">
        <f t="shared" si="37"/>
        <v>0</v>
      </c>
      <c r="CC34" s="418">
        <f t="shared" si="38"/>
        <v>0</v>
      </c>
      <c r="CD34" s="418">
        <f t="shared" si="38"/>
        <v>0</v>
      </c>
      <c r="CE34" s="418">
        <f t="shared" si="39"/>
        <v>0</v>
      </c>
      <c r="CF34" s="418"/>
      <c r="CG34" s="418">
        <f t="shared" si="45"/>
        <v>0</v>
      </c>
      <c r="DB34" s="333"/>
    </row>
    <row r="35" spans="1:106">
      <c r="A35" s="185"/>
      <c r="C35" s="358"/>
      <c r="E35" s="185"/>
      <c r="F35" s="196"/>
      <c r="G35" s="426"/>
      <c r="H35" s="426"/>
      <c r="M35" s="337"/>
      <c r="N35" s="187"/>
      <c r="R35" s="321"/>
      <c r="T35" s="427"/>
      <c r="V35" s="428"/>
      <c r="X35" s="339"/>
      <c r="Y35" s="339"/>
      <c r="Z35" s="339"/>
      <c r="AA35" s="337"/>
      <c r="AB35" s="337"/>
      <c r="AF35" s="337"/>
      <c r="AH35" s="337"/>
      <c r="AN35" s="337"/>
      <c r="AR35" s="337"/>
      <c r="AU35" s="400"/>
      <c r="AW35" s="400"/>
      <c r="AY35" s="400"/>
      <c r="AZ35" s="400"/>
      <c r="BB35" s="339"/>
      <c r="BC35" s="386"/>
      <c r="BG35" s="336"/>
      <c r="BJ35" s="429"/>
      <c r="BP35" s="337"/>
      <c r="BT35" s="428"/>
      <c r="BV35" s="336"/>
      <c r="BY35" s="429"/>
      <c r="CA35" s="337"/>
      <c r="CG35" s="428"/>
      <c r="DB35" s="333">
        <f>$J21</f>
        <v>8</v>
      </c>
    </row>
    <row r="36" spans="1:106">
      <c r="A36" s="185" t="s">
        <v>77</v>
      </c>
      <c r="C36" s="356">
        <f>+'Gas Input Table Summary'!$D$24</f>
        <v>0</v>
      </c>
      <c r="E36" s="430" t="s">
        <v>91</v>
      </c>
      <c r="F36" s="431"/>
      <c r="H36" s="432">
        <f>+'Gas Input Table Summary'!D58</f>
        <v>1.744</v>
      </c>
      <c r="J36" s="321"/>
      <c r="K36" s="187" t="s">
        <v>211</v>
      </c>
      <c r="M36" s="369">
        <f>SUM(M14:M34)</f>
        <v>4410</v>
      </c>
      <c r="N36" s="187"/>
      <c r="R36" s="321"/>
      <c r="S36" s="374"/>
      <c r="T36" s="427"/>
      <c r="V36" s="374">
        <f>SUM(V14:V34)</f>
        <v>19880</v>
      </c>
      <c r="X36" s="357"/>
      <c r="Y36" s="357"/>
      <c r="Z36" s="357"/>
      <c r="AA36" s="357">
        <f>SUM(AA14:AA34)</f>
        <v>9335</v>
      </c>
      <c r="AB36" s="357">
        <f>SUM(AB14:AB34)</f>
        <v>10545</v>
      </c>
      <c r="AD36" s="185" t="s">
        <v>78</v>
      </c>
      <c r="AE36" s="369"/>
      <c r="AF36" s="357"/>
      <c r="AG36" s="357"/>
      <c r="AH36" s="357">
        <f>SUM(AH14:AH34)</f>
        <v>19880</v>
      </c>
      <c r="AL36" s="357">
        <f>SUM(AL14:AL34)</f>
        <v>3266</v>
      </c>
      <c r="AN36" s="357">
        <f>SUM(AN14:AN34)</f>
        <v>16614</v>
      </c>
      <c r="AP36" s="185" t="s">
        <v>78</v>
      </c>
      <c r="AQ36" s="369"/>
      <c r="AR36" s="357"/>
      <c r="AS36" s="357"/>
      <c r="AU36" s="393"/>
      <c r="AW36" s="393"/>
      <c r="AY36" s="393"/>
      <c r="AZ36" s="433">
        <f>SUM(AZ14:AZ34)</f>
        <v>21632</v>
      </c>
      <c r="BB36" s="357"/>
      <c r="BC36" s="357"/>
      <c r="BD36" s="357">
        <f>SUM(BD14:BD34)</f>
        <v>9346</v>
      </c>
      <c r="BE36" s="357">
        <f>SUM(BE14:BE34)</f>
        <v>12286</v>
      </c>
      <c r="BG36" s="434" t="s">
        <v>211</v>
      </c>
      <c r="BI36" s="357"/>
      <c r="BJ36" s="369">
        <f>SUM(BJ14:BJ34)</f>
        <v>4410</v>
      </c>
      <c r="BK36" s="427"/>
      <c r="BL36" s="357"/>
      <c r="BN36" s="357"/>
      <c r="BO36" s="357"/>
      <c r="BP36" s="357">
        <f>SUM(BP14:BP34)</f>
        <v>35017</v>
      </c>
      <c r="BR36" s="357">
        <f>SUM(BR14:BR34)</f>
        <v>9120</v>
      </c>
      <c r="BS36" s="357"/>
      <c r="BT36" s="357">
        <f>SUM(BT14:BT34)</f>
        <v>25897</v>
      </c>
      <c r="BX36" s="357"/>
      <c r="BY36" s="369"/>
      <c r="BZ36" s="434" t="s">
        <v>211</v>
      </c>
      <c r="CA36" s="357">
        <f>SUM(CA14:CA34)</f>
        <v>19880</v>
      </c>
      <c r="CC36" s="357"/>
      <c r="CD36" s="357"/>
      <c r="CE36" s="357">
        <f>SUM(CE14:CE34)</f>
        <v>9346</v>
      </c>
      <c r="CF36" s="357"/>
      <c r="CG36" s="357">
        <f>SUM(CG14:CG34)</f>
        <v>10534</v>
      </c>
      <c r="DB36" s="333"/>
    </row>
    <row r="37" spans="1:106">
      <c r="A37" s="187" t="s">
        <v>47</v>
      </c>
      <c r="C37" s="358">
        <f>+'Gas Input Table Summary'!$D$25</f>
        <v>0</v>
      </c>
      <c r="E37" s="274"/>
      <c r="F37" s="435"/>
      <c r="H37" s="274"/>
      <c r="M37" s="369"/>
      <c r="N37" s="187"/>
      <c r="R37" s="321"/>
      <c r="S37" s="436"/>
      <c r="T37" s="337" t="s">
        <v>80</v>
      </c>
      <c r="V37" s="436">
        <f>ROUND(V14+NPV($C$41,V15:V34),0)</f>
        <v>14387</v>
      </c>
      <c r="X37" s="357"/>
      <c r="Y37" s="357"/>
      <c r="Z37" s="357"/>
      <c r="AA37" s="357">
        <f>ROUND(AA14+NPV($C$41,AA15:AA34),0)</f>
        <v>7637</v>
      </c>
      <c r="AB37" s="357">
        <f>ROUND(AB14+NPV($C$41,AB15:AB34),0)</f>
        <v>6750</v>
      </c>
      <c r="AF37" s="357"/>
      <c r="AG37" s="185" t="s">
        <v>80</v>
      </c>
      <c r="AH37" s="357">
        <f>ROUND(AH14+NPV($C$41,AH15:AH34),0)</f>
        <v>14387</v>
      </c>
      <c r="AL37" s="357">
        <f>ROUND(AL14+NPV($C$41,AL15:AL34),0)</f>
        <v>3266</v>
      </c>
      <c r="AN37" s="357">
        <f>+AH37-AL37</f>
        <v>11121</v>
      </c>
      <c r="AR37" s="357"/>
      <c r="AS37" s="357"/>
      <c r="AU37" s="393"/>
      <c r="AW37" s="185" t="s">
        <v>80</v>
      </c>
      <c r="AY37" s="393"/>
      <c r="AZ37" s="357">
        <f>ROUND(AZ14+NPV($C$43,AZ15:AZ34),0)</f>
        <v>18436</v>
      </c>
      <c r="BB37" s="357"/>
      <c r="BC37" s="357"/>
      <c r="BD37" s="357">
        <f>ROUND(BD14+NPV($C$43,BD15:BD34),0)</f>
        <v>9346</v>
      </c>
      <c r="BE37" s="357">
        <f>AZ37-BD37</f>
        <v>9090</v>
      </c>
      <c r="BG37" s="336"/>
      <c r="BI37" s="357"/>
      <c r="BL37" s="357"/>
      <c r="BN37" s="357" t="s">
        <v>203</v>
      </c>
      <c r="BO37" s="357"/>
      <c r="BP37" s="357">
        <f>ROUND(BP14+NPV($C$39,BP15:BP34),0)</f>
        <v>24082</v>
      </c>
      <c r="BR37" s="357">
        <f>ROUND(BR14+NPV($C$39,BR15:BR34),0)</f>
        <v>9120</v>
      </c>
      <c r="BS37" s="357"/>
      <c r="BT37" s="369">
        <f>ROUND(BT14+NPV($C$39,BT15:BT34),0)</f>
        <v>14962</v>
      </c>
      <c r="BV37" s="336"/>
      <c r="BX37" s="357"/>
      <c r="BZ37" s="357" t="s">
        <v>203</v>
      </c>
      <c r="CA37" s="357">
        <f>ROUND(CA14+NPV($C$41,CA15:CA34),0)</f>
        <v>14387</v>
      </c>
      <c r="CC37" s="357"/>
      <c r="CD37" s="357"/>
      <c r="CE37" s="357">
        <f>ROUND(CE14+NPV($C$41,CE15:CE34),0)</f>
        <v>9346</v>
      </c>
      <c r="CF37" s="357"/>
      <c r="CG37" s="369">
        <f>ROUND(CG14+NPV($C$41,CG15:CG34),0)</f>
        <v>5041</v>
      </c>
      <c r="DB37" s="333">
        <f>$J22</f>
        <v>9</v>
      </c>
    </row>
    <row r="38" spans="1:106">
      <c r="C38" s="358"/>
      <c r="E38" s="437" t="s">
        <v>98</v>
      </c>
      <c r="F38" s="274"/>
      <c r="H38" s="438">
        <f>+'Gas Input Table Summary'!D59</f>
        <v>0.35</v>
      </c>
      <c r="M38" s="369"/>
      <c r="N38" s="187"/>
      <c r="R38" s="321"/>
      <c r="T38" s="427"/>
      <c r="V38" s="386"/>
      <c r="X38" s="185" t="s">
        <v>81</v>
      </c>
      <c r="Z38" s="369"/>
      <c r="AA38" s="369"/>
      <c r="AB38" s="386"/>
      <c r="AF38" s="369"/>
      <c r="AH38" s="369"/>
      <c r="AI38" s="369"/>
      <c r="AR38" s="369"/>
      <c r="AY38" s="369"/>
      <c r="AZ38" s="369"/>
      <c r="BA38" s="369"/>
      <c r="BB38" s="369"/>
      <c r="BC38" s="369"/>
      <c r="BD38" s="369"/>
      <c r="BE38" s="369"/>
      <c r="BF38" s="369"/>
      <c r="BG38" s="336"/>
      <c r="BI38" s="357"/>
      <c r="BP38" s="369"/>
      <c r="BS38" s="369"/>
      <c r="BU38" s="369"/>
      <c r="BV38" s="336"/>
      <c r="BX38" s="357"/>
      <c r="CA38" s="369"/>
      <c r="CF38" s="369"/>
      <c r="DB38" s="333"/>
    </row>
    <row r="39" spans="1:106">
      <c r="A39" s="185" t="s">
        <v>79</v>
      </c>
      <c r="C39" s="361">
        <f>+'Gas Input Table Summary'!$D$26</f>
        <v>0.1</v>
      </c>
      <c r="E39" s="183" t="s">
        <v>225</v>
      </c>
      <c r="K39" s="185" t="s">
        <v>83</v>
      </c>
      <c r="M39" s="369"/>
      <c r="N39" s="357">
        <f>AB37</f>
        <v>6750</v>
      </c>
      <c r="Q39" s="357"/>
      <c r="R39" s="321"/>
      <c r="T39" s="427"/>
      <c r="U39" s="427"/>
      <c r="V39" s="369"/>
      <c r="X39" s="185" t="s">
        <v>81</v>
      </c>
      <c r="Z39" s="369"/>
      <c r="AA39" s="369"/>
      <c r="AB39" s="386"/>
      <c r="AD39" s="185" t="s">
        <v>83</v>
      </c>
      <c r="AF39" s="369"/>
      <c r="AG39" s="357">
        <f>AN37</f>
        <v>11121</v>
      </c>
      <c r="AH39" s="357"/>
      <c r="AI39" s="369"/>
      <c r="AM39" s="369"/>
      <c r="AP39" s="185" t="s">
        <v>83</v>
      </c>
      <c r="AR39" s="369"/>
      <c r="AS39" s="357">
        <f>BE37</f>
        <v>9090</v>
      </c>
      <c r="AU39" s="357"/>
      <c r="AW39" s="357"/>
      <c r="AY39" s="369"/>
      <c r="AZ39" s="369"/>
      <c r="BA39" s="439"/>
      <c r="BB39" s="369"/>
      <c r="BC39" s="369"/>
      <c r="BD39" s="369"/>
      <c r="BF39" s="369"/>
      <c r="BG39" s="185" t="s">
        <v>83</v>
      </c>
      <c r="BJ39" s="357">
        <f>BT37</f>
        <v>14962</v>
      </c>
      <c r="BK39" s="357"/>
      <c r="BP39" s="369"/>
      <c r="BS39" s="369"/>
      <c r="BT39" s="369"/>
      <c r="BU39" s="369"/>
      <c r="BV39" s="185" t="s">
        <v>83</v>
      </c>
      <c r="BY39" s="357">
        <f>CG37</f>
        <v>5041</v>
      </c>
      <c r="BZ39" s="357"/>
      <c r="CA39" s="369"/>
      <c r="CF39" s="369"/>
      <c r="CG39" s="369"/>
      <c r="DB39" s="333"/>
    </row>
    <row r="40" spans="1:106" ht="13.8" thickBot="1">
      <c r="A40" s="185"/>
      <c r="C40" s="361"/>
      <c r="F40" s="368"/>
      <c r="K40" s="185" t="s">
        <v>84</v>
      </c>
      <c r="N40" s="440">
        <f>ROUND(V37/AA37,2)</f>
        <v>1.88</v>
      </c>
      <c r="Q40" s="427"/>
      <c r="R40" s="321"/>
      <c r="AB40" s="386"/>
      <c r="AD40" s="185" t="s">
        <v>84</v>
      </c>
      <c r="AF40" s="427"/>
      <c r="AG40" s="441">
        <f>ROUND(AH37/AL37,2)</f>
        <v>4.41</v>
      </c>
      <c r="AH40" s="427"/>
      <c r="AP40" s="185" t="s">
        <v>84</v>
      </c>
      <c r="AR40" s="427"/>
      <c r="AS40" s="441">
        <f>ROUND(AZ37/BD37,2)</f>
        <v>1.97</v>
      </c>
      <c r="AU40" s="427"/>
      <c r="AW40" s="427"/>
      <c r="AZ40" s="187"/>
      <c r="BD40" s="369"/>
      <c r="BG40" s="185" t="s">
        <v>84</v>
      </c>
      <c r="BJ40" s="441">
        <f>ROUND(BP37/BR37,20)</f>
        <v>2.6405701754386</v>
      </c>
      <c r="BK40" s="427"/>
      <c r="BV40" s="185" t="s">
        <v>84</v>
      </c>
      <c r="BY40" s="441">
        <f>ROUND(CA37/CE37,2)</f>
        <v>1.54</v>
      </c>
      <c r="BZ40" s="427"/>
      <c r="DB40" s="333">
        <f>$J23</f>
        <v>10</v>
      </c>
    </row>
    <row r="41" spans="1:106" ht="13.8" thickTop="1">
      <c r="A41" s="185" t="s">
        <v>82</v>
      </c>
      <c r="C41" s="361">
        <f>+'Gas Input Table Summary'!$D$27</f>
        <v>7.5999999999999998E-2</v>
      </c>
      <c r="E41" s="59" t="s">
        <v>88</v>
      </c>
      <c r="F41" s="60" t="s">
        <v>89</v>
      </c>
      <c r="G41" s="61" t="s">
        <v>90</v>
      </c>
      <c r="J41" s="355"/>
      <c r="K41" s="442"/>
      <c r="L41" s="355"/>
      <c r="M41" s="355"/>
      <c r="N41" s="355"/>
      <c r="O41" s="355"/>
      <c r="Q41" s="355"/>
      <c r="R41" s="443"/>
      <c r="S41" s="355"/>
      <c r="T41" s="355"/>
      <c r="U41" s="355"/>
      <c r="V41" s="355"/>
      <c r="W41" s="355"/>
      <c r="X41" s="355"/>
      <c r="AB41" s="386"/>
      <c r="AD41" s="185"/>
      <c r="AM41" s="444"/>
      <c r="AN41" s="185"/>
      <c r="AP41" s="185"/>
      <c r="AZ41" s="187"/>
      <c r="BB41" s="444"/>
      <c r="BE41" s="185"/>
      <c r="BG41" s="336"/>
      <c r="BV41" s="336"/>
      <c r="DB41" s="333">
        <f>$J24</f>
        <v>11</v>
      </c>
    </row>
    <row r="42" spans="1:106">
      <c r="E42" s="445" t="s">
        <v>5</v>
      </c>
      <c r="F42" s="446">
        <f>N39</f>
        <v>6750</v>
      </c>
      <c r="G42" s="447">
        <f>N40</f>
        <v>1.88</v>
      </c>
      <c r="J42" s="75"/>
      <c r="K42" s="75"/>
      <c r="L42" s="448"/>
      <c r="M42" s="448"/>
      <c r="N42" s="448"/>
      <c r="O42" s="448"/>
      <c r="Q42" s="448"/>
      <c r="R42" s="448"/>
      <c r="S42" s="448"/>
      <c r="T42" s="448"/>
      <c r="U42" s="448"/>
      <c r="V42" s="448"/>
      <c r="W42" s="448"/>
      <c r="X42" s="448"/>
      <c r="AB42" s="386"/>
      <c r="AZ42" s="187"/>
      <c r="BD42" s="336"/>
      <c r="DB42" s="333">
        <f>$J25</f>
        <v>12</v>
      </c>
    </row>
    <row r="43" spans="1:106">
      <c r="A43" s="187" t="s">
        <v>85</v>
      </c>
      <c r="C43" s="361">
        <f>+'Gas Input Table Summary'!$D$28</f>
        <v>3.56E-2</v>
      </c>
      <c r="E43" s="449" t="s">
        <v>6</v>
      </c>
      <c r="F43" s="374">
        <f>AG39</f>
        <v>11121</v>
      </c>
      <c r="G43" s="450">
        <f>AG40</f>
        <v>4.41</v>
      </c>
      <c r="J43" s="76" t="s">
        <v>124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8"/>
      <c r="AB43" s="386"/>
      <c r="AD43" s="76" t="s">
        <v>124</v>
      </c>
      <c r="AE43" s="77"/>
      <c r="AF43" s="451"/>
      <c r="AG43" s="451"/>
      <c r="AH43" s="452"/>
      <c r="AI43" s="452"/>
      <c r="AJ43" s="452"/>
      <c r="AK43" s="452"/>
      <c r="AN43" s="185"/>
      <c r="AP43" s="76" t="s">
        <v>124</v>
      </c>
      <c r="AQ43" s="77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2"/>
      <c r="BG43" s="76" t="s">
        <v>124</v>
      </c>
      <c r="BH43" s="77"/>
      <c r="BI43" s="451"/>
      <c r="BJ43" s="451"/>
      <c r="BK43" s="452"/>
      <c r="BL43" s="452"/>
      <c r="BM43" s="452"/>
      <c r="BN43" s="452"/>
      <c r="BO43" s="448"/>
      <c r="BP43" s="448" t="s">
        <v>81</v>
      </c>
      <c r="BQ43" s="448"/>
      <c r="BR43" s="448"/>
      <c r="BV43" s="76" t="s">
        <v>124</v>
      </c>
      <c r="BW43" s="77"/>
      <c r="BX43" s="451"/>
      <c r="BY43" s="451"/>
      <c r="BZ43" s="452"/>
      <c r="CA43" s="448" t="s">
        <v>81</v>
      </c>
      <c r="CB43" s="448"/>
      <c r="CC43" s="448"/>
      <c r="CD43" s="448"/>
      <c r="CE43" s="448"/>
      <c r="CI43" s="381"/>
      <c r="DB43" s="333">
        <f>$J26</f>
        <v>13</v>
      </c>
    </row>
    <row r="44" spans="1:106">
      <c r="E44" s="453" t="s">
        <v>7</v>
      </c>
      <c r="F44" s="374">
        <f>AS39</f>
        <v>9090</v>
      </c>
      <c r="G44" s="450">
        <f>AS40</f>
        <v>1.97</v>
      </c>
      <c r="J44" s="454" t="s">
        <v>48</v>
      </c>
      <c r="K44" s="171" t="s">
        <v>121</v>
      </c>
      <c r="L44" s="455"/>
      <c r="M44" s="455"/>
      <c r="N44" s="455"/>
      <c r="O44" s="455"/>
      <c r="P44" s="455"/>
      <c r="Q44" s="455"/>
      <c r="R44" s="455"/>
      <c r="S44" s="455"/>
      <c r="T44" s="456" t="s">
        <v>56</v>
      </c>
      <c r="U44" s="171" t="s">
        <v>142</v>
      </c>
      <c r="V44" s="455"/>
      <c r="W44" s="455"/>
      <c r="X44" s="457"/>
      <c r="AB44" s="337"/>
      <c r="AD44" s="454" t="s">
        <v>48</v>
      </c>
      <c r="AE44" s="171" t="s">
        <v>162</v>
      </c>
      <c r="AF44" s="455"/>
      <c r="AG44" s="455"/>
      <c r="AH44" s="455"/>
      <c r="AI44" s="455"/>
      <c r="AJ44" s="455"/>
      <c r="AK44" s="457"/>
      <c r="AN44" s="185"/>
      <c r="AP44" s="458" t="s">
        <v>48</v>
      </c>
      <c r="AQ44" s="171" t="s">
        <v>162</v>
      </c>
      <c r="AR44" s="455"/>
      <c r="AS44" s="455"/>
      <c r="AU44" s="455"/>
      <c r="AW44" s="459" t="s">
        <v>55</v>
      </c>
      <c r="AZ44" s="363" t="s">
        <v>152</v>
      </c>
      <c r="BA44" s="339"/>
      <c r="BC44" s="339"/>
      <c r="BD44" s="455"/>
      <c r="BE44" s="457"/>
      <c r="BG44" s="460" t="s">
        <v>48</v>
      </c>
      <c r="BH44" s="171" t="s">
        <v>156</v>
      </c>
      <c r="BI44" s="455"/>
      <c r="BJ44" s="455"/>
      <c r="BK44" s="455"/>
      <c r="BL44" s="455"/>
      <c r="BM44" s="455"/>
      <c r="BN44" s="457"/>
      <c r="BV44" s="460" t="s">
        <v>48</v>
      </c>
      <c r="BW44" s="171" t="s">
        <v>162</v>
      </c>
      <c r="BX44" s="455"/>
      <c r="BY44" s="455"/>
      <c r="BZ44" s="457"/>
      <c r="CI44" s="381"/>
      <c r="DB44" s="333"/>
    </row>
    <row r="45" spans="1:106">
      <c r="A45" s="185" t="s">
        <v>86</v>
      </c>
      <c r="C45" s="461">
        <f>+'Res .95+% Res Furnace - NEW'!C45</f>
        <v>2014</v>
      </c>
      <c r="E45" s="449" t="s">
        <v>8</v>
      </c>
      <c r="F45" s="374">
        <f>BJ39</f>
        <v>14962</v>
      </c>
      <c r="G45" s="450">
        <f>BJ40</f>
        <v>2.6405701754386</v>
      </c>
      <c r="J45" s="462" t="s">
        <v>49</v>
      </c>
      <c r="K45" s="172" t="s">
        <v>139</v>
      </c>
      <c r="L45" s="339"/>
      <c r="M45" s="339"/>
      <c r="N45" s="339"/>
      <c r="O45" s="339"/>
      <c r="P45" s="339"/>
      <c r="Q45" s="339"/>
      <c r="R45" s="339"/>
      <c r="S45" s="339"/>
      <c r="T45" s="459" t="s">
        <v>57</v>
      </c>
      <c r="U45" s="172" t="s">
        <v>143</v>
      </c>
      <c r="V45" s="339"/>
      <c r="W45" s="339"/>
      <c r="X45" s="463"/>
      <c r="AB45" s="357"/>
      <c r="AD45" s="462" t="s">
        <v>49</v>
      </c>
      <c r="AE45" s="464" t="s">
        <v>163</v>
      </c>
      <c r="AF45" s="339"/>
      <c r="AG45" s="339"/>
      <c r="AH45" s="339"/>
      <c r="AI45" s="339"/>
      <c r="AJ45" s="339"/>
      <c r="AK45" s="463"/>
      <c r="AP45" s="465" t="s">
        <v>54</v>
      </c>
      <c r="AQ45" s="172" t="s">
        <v>163</v>
      </c>
      <c r="AR45" s="339"/>
      <c r="AS45" s="339"/>
      <c r="AU45" s="339"/>
      <c r="AW45" s="459" t="s">
        <v>56</v>
      </c>
      <c r="AZ45" s="464" t="s">
        <v>153</v>
      </c>
      <c r="BA45" s="339"/>
      <c r="BC45" s="339"/>
      <c r="BD45" s="339"/>
      <c r="BE45" s="463"/>
      <c r="BG45" s="466" t="s">
        <v>49</v>
      </c>
      <c r="BH45" s="172" t="s">
        <v>125</v>
      </c>
      <c r="BI45" s="339"/>
      <c r="BJ45" s="339"/>
      <c r="BK45" s="339"/>
      <c r="BL45" s="339"/>
      <c r="BM45" s="339"/>
      <c r="BN45" s="463"/>
      <c r="BV45" s="466" t="s">
        <v>49</v>
      </c>
      <c r="BW45" s="172" t="s">
        <v>163</v>
      </c>
      <c r="BX45" s="339"/>
      <c r="BY45" s="339"/>
      <c r="BZ45" s="463"/>
      <c r="CI45" s="381"/>
      <c r="DB45" s="333"/>
    </row>
    <row r="46" spans="1:106">
      <c r="C46" s="336"/>
      <c r="E46" s="180" t="s">
        <v>216</v>
      </c>
      <c r="F46" s="467">
        <f>BY39</f>
        <v>5041</v>
      </c>
      <c r="G46" s="468">
        <f>BY40</f>
        <v>1.54</v>
      </c>
      <c r="J46" s="462" t="s">
        <v>50</v>
      </c>
      <c r="K46" s="464" t="s">
        <v>120</v>
      </c>
      <c r="L46" s="339"/>
      <c r="M46" s="339"/>
      <c r="N46" s="339"/>
      <c r="O46" s="339"/>
      <c r="P46" s="339"/>
      <c r="Q46" s="339"/>
      <c r="R46" s="339"/>
      <c r="S46" s="339"/>
      <c r="T46" s="459" t="s">
        <v>58</v>
      </c>
      <c r="U46" s="172" t="s">
        <v>159</v>
      </c>
      <c r="V46" s="339"/>
      <c r="W46" s="339"/>
      <c r="X46" s="463"/>
      <c r="AB46" s="369"/>
      <c r="AD46" s="462" t="s">
        <v>50</v>
      </c>
      <c r="AE46" s="464" t="s">
        <v>164</v>
      </c>
      <c r="AF46" s="339"/>
      <c r="AG46" s="339"/>
      <c r="AH46" s="339"/>
      <c r="AI46" s="339"/>
      <c r="AJ46" s="339"/>
      <c r="AK46" s="463"/>
      <c r="AP46" s="465" t="s">
        <v>50</v>
      </c>
      <c r="AQ46" s="173" t="s">
        <v>199</v>
      </c>
      <c r="AR46" s="355"/>
      <c r="AS46" s="355"/>
      <c r="AU46" s="355"/>
      <c r="AW46" s="459" t="s">
        <v>57</v>
      </c>
      <c r="AZ46" s="464" t="s">
        <v>154</v>
      </c>
      <c r="BA46" s="339"/>
      <c r="BC46" s="339"/>
      <c r="BD46" s="339"/>
      <c r="BE46" s="463"/>
      <c r="BG46" s="466" t="s">
        <v>50</v>
      </c>
      <c r="BH46" s="174" t="s">
        <v>129</v>
      </c>
      <c r="BI46" s="355"/>
      <c r="BJ46" s="355"/>
      <c r="BK46" s="339"/>
      <c r="BL46" s="355"/>
      <c r="BM46" s="459"/>
      <c r="BN46" s="469"/>
      <c r="BV46" s="466" t="s">
        <v>50</v>
      </c>
      <c r="BW46" s="172" t="s">
        <v>218</v>
      </c>
      <c r="BX46" s="355"/>
      <c r="BY46" s="355"/>
      <c r="BZ46" s="463"/>
      <c r="CI46" s="381"/>
      <c r="DB46" s="333"/>
    </row>
    <row r="47" spans="1:106">
      <c r="A47" s="185" t="s">
        <v>87</v>
      </c>
      <c r="C47" s="461">
        <f>+'Res .95+% Res Furnace - NEW'!C47</f>
        <v>2015</v>
      </c>
      <c r="J47" s="462" t="s">
        <v>51</v>
      </c>
      <c r="K47" s="172" t="s">
        <v>138</v>
      </c>
      <c r="L47" s="339"/>
      <c r="M47" s="339"/>
      <c r="N47" s="339"/>
      <c r="O47" s="339"/>
      <c r="P47" s="339"/>
      <c r="Q47" s="339"/>
      <c r="R47" s="339"/>
      <c r="S47" s="339"/>
      <c r="T47" s="459" t="s">
        <v>59</v>
      </c>
      <c r="U47" s="404" t="s">
        <v>160</v>
      </c>
      <c r="V47" s="339"/>
      <c r="W47" s="339"/>
      <c r="X47" s="463"/>
      <c r="AB47" s="369"/>
      <c r="AD47" s="462" t="s">
        <v>51</v>
      </c>
      <c r="AE47" s="172" t="s">
        <v>126</v>
      </c>
      <c r="AF47" s="339"/>
      <c r="AG47" s="339"/>
      <c r="AH47" s="339"/>
      <c r="AI47" s="339"/>
      <c r="AJ47" s="339"/>
      <c r="AK47" s="463"/>
      <c r="AO47" s="185"/>
      <c r="AP47" s="465" t="s">
        <v>51</v>
      </c>
      <c r="AQ47" s="173" t="s">
        <v>151</v>
      </c>
      <c r="AR47" s="355"/>
      <c r="AS47" s="355"/>
      <c r="AU47" s="355"/>
      <c r="AW47" s="459" t="s">
        <v>58</v>
      </c>
      <c r="AZ47" s="464" t="s">
        <v>155</v>
      </c>
      <c r="BA47" s="339"/>
      <c r="BC47" s="339"/>
      <c r="BD47" s="339"/>
      <c r="BE47" s="463"/>
      <c r="BG47" s="466" t="s">
        <v>51</v>
      </c>
      <c r="BH47" s="173" t="s">
        <v>130</v>
      </c>
      <c r="BI47" s="355"/>
      <c r="BJ47" s="355"/>
      <c r="BK47" s="339"/>
      <c r="BL47" s="355"/>
      <c r="BM47" s="459"/>
      <c r="BN47" s="469"/>
      <c r="BO47" s="339"/>
      <c r="BP47" s="339"/>
      <c r="BQ47" s="339"/>
      <c r="BR47" s="339"/>
      <c r="BV47" s="466" t="s">
        <v>51</v>
      </c>
      <c r="BW47" s="172" t="s">
        <v>127</v>
      </c>
      <c r="BX47" s="355"/>
      <c r="BY47" s="355"/>
      <c r="BZ47" s="463"/>
      <c r="CA47" s="339"/>
      <c r="CB47" s="339"/>
      <c r="CC47" s="339"/>
      <c r="CD47" s="339"/>
      <c r="CE47" s="339"/>
      <c r="CI47" s="381"/>
      <c r="DB47" s="333"/>
    </row>
    <row r="48" spans="1:106">
      <c r="A48" s="185"/>
      <c r="C48" s="366"/>
      <c r="J48" s="462" t="s">
        <v>52</v>
      </c>
      <c r="K48" s="464" t="s">
        <v>140</v>
      </c>
      <c r="L48" s="339"/>
      <c r="M48" s="339"/>
      <c r="N48" s="339"/>
      <c r="O48" s="348"/>
      <c r="P48" s="339"/>
      <c r="Q48" s="339"/>
      <c r="R48" s="339"/>
      <c r="S48" s="339"/>
      <c r="T48" s="459" t="s">
        <v>60</v>
      </c>
      <c r="U48" s="172" t="s">
        <v>146</v>
      </c>
      <c r="V48" s="339"/>
      <c r="W48" s="339"/>
      <c r="X48" s="463"/>
      <c r="AD48" s="462" t="s">
        <v>52</v>
      </c>
      <c r="AE48" s="172" t="s">
        <v>156</v>
      </c>
      <c r="AF48" s="339"/>
      <c r="AG48" s="339"/>
      <c r="AH48" s="339"/>
      <c r="AI48" s="339"/>
      <c r="AJ48" s="339"/>
      <c r="AK48" s="463"/>
      <c r="AP48" s="465" t="s">
        <v>52</v>
      </c>
      <c r="AQ48" s="173" t="s">
        <v>134</v>
      </c>
      <c r="AR48" s="355"/>
      <c r="AS48" s="355"/>
      <c r="AU48" s="355"/>
      <c r="AW48" s="459"/>
      <c r="AZ48" s="187"/>
      <c r="BA48" s="339"/>
      <c r="BC48" s="339"/>
      <c r="BD48" s="339"/>
      <c r="BE48" s="463"/>
      <c r="BG48" s="466" t="s">
        <v>52</v>
      </c>
      <c r="BH48" s="173" t="s">
        <v>165</v>
      </c>
      <c r="BI48" s="355"/>
      <c r="BJ48" s="355"/>
      <c r="BK48" s="339"/>
      <c r="BL48" s="355"/>
      <c r="BM48" s="355"/>
      <c r="BN48" s="463"/>
      <c r="BO48" s="339"/>
      <c r="BP48" s="339"/>
      <c r="BQ48" s="339"/>
      <c r="BR48" s="339"/>
      <c r="BV48" s="466" t="s">
        <v>52</v>
      </c>
      <c r="BW48" s="172" t="s">
        <v>222</v>
      </c>
      <c r="BX48" s="355"/>
      <c r="BY48" s="355"/>
      <c r="BZ48" s="463"/>
      <c r="CA48" s="339"/>
      <c r="CB48" s="339"/>
      <c r="CC48" s="339"/>
      <c r="CD48" s="339"/>
      <c r="CE48" s="339"/>
      <c r="CI48" s="381"/>
      <c r="DB48" s="333"/>
    </row>
    <row r="49" spans="1:108">
      <c r="A49" s="185"/>
      <c r="C49" s="336"/>
      <c r="J49" s="462" t="s">
        <v>53</v>
      </c>
      <c r="K49" s="172" t="s">
        <v>141</v>
      </c>
      <c r="L49" s="339"/>
      <c r="M49" s="339"/>
      <c r="N49" s="339"/>
      <c r="O49" s="339"/>
      <c r="P49" s="339"/>
      <c r="Q49" s="339"/>
      <c r="R49" s="339"/>
      <c r="S49" s="339"/>
      <c r="T49" s="459" t="s">
        <v>61</v>
      </c>
      <c r="U49" s="464" t="s">
        <v>128</v>
      </c>
      <c r="V49" s="339"/>
      <c r="W49" s="339"/>
      <c r="X49" s="463"/>
      <c r="AD49" s="462" t="s">
        <v>53</v>
      </c>
      <c r="AE49" s="464" t="s">
        <v>148</v>
      </c>
      <c r="AF49" s="339"/>
      <c r="AG49" s="339"/>
      <c r="AH49" s="339"/>
      <c r="AI49" s="339"/>
      <c r="AJ49" s="339"/>
      <c r="AK49" s="463"/>
      <c r="AP49" s="465" t="s">
        <v>53</v>
      </c>
      <c r="AQ49" s="172" t="s">
        <v>135</v>
      </c>
      <c r="AR49" s="339"/>
      <c r="AS49" s="339"/>
      <c r="AU49" s="339"/>
      <c r="AW49" s="459"/>
      <c r="AZ49" s="187"/>
      <c r="BA49" s="339"/>
      <c r="BC49" s="339"/>
      <c r="BD49" s="339"/>
      <c r="BE49" s="463"/>
      <c r="BG49" s="466" t="s">
        <v>53</v>
      </c>
      <c r="BH49" s="173" t="s">
        <v>365</v>
      </c>
      <c r="BI49" s="355"/>
      <c r="BJ49" s="355"/>
      <c r="BK49" s="339"/>
      <c r="BL49" s="355"/>
      <c r="BM49" s="459"/>
      <c r="BN49" s="463"/>
      <c r="BO49" s="339"/>
      <c r="BP49" s="339"/>
      <c r="BQ49" s="339"/>
      <c r="BR49" s="339"/>
      <c r="BV49" s="466" t="s">
        <v>53</v>
      </c>
      <c r="BW49" s="172" t="s">
        <v>223</v>
      </c>
      <c r="BX49" s="355"/>
      <c r="BY49" s="355"/>
      <c r="BZ49" s="463"/>
      <c r="CA49" s="339"/>
      <c r="CB49" s="339"/>
      <c r="CC49" s="339"/>
      <c r="CD49" s="339"/>
      <c r="CE49" s="339"/>
      <c r="DB49" s="333">
        <f>$J27</f>
        <v>14</v>
      </c>
    </row>
    <row r="50" spans="1:108">
      <c r="J50" s="462" t="s">
        <v>54</v>
      </c>
      <c r="K50" s="172" t="s">
        <v>122</v>
      </c>
      <c r="L50" s="339"/>
      <c r="M50" s="339"/>
      <c r="N50" s="339"/>
      <c r="O50" s="339"/>
      <c r="P50" s="339"/>
      <c r="Q50" s="339"/>
      <c r="R50" s="339"/>
      <c r="S50" s="339"/>
      <c r="T50" s="459" t="s">
        <v>137</v>
      </c>
      <c r="U50" s="464" t="s">
        <v>161</v>
      </c>
      <c r="V50" s="339"/>
      <c r="W50" s="339"/>
      <c r="X50" s="463"/>
      <c r="AD50" s="180" t="s">
        <v>54</v>
      </c>
      <c r="AE50" s="470" t="s">
        <v>149</v>
      </c>
      <c r="AF50" s="346"/>
      <c r="AG50" s="346"/>
      <c r="AH50" s="346"/>
      <c r="AI50" s="346"/>
      <c r="AJ50" s="346"/>
      <c r="AK50" s="471"/>
      <c r="AP50" s="472" t="s">
        <v>54</v>
      </c>
      <c r="AQ50" s="473" t="s">
        <v>150</v>
      </c>
      <c r="AR50" s="346"/>
      <c r="AS50" s="346"/>
      <c r="AT50" s="346"/>
      <c r="AU50" s="346"/>
      <c r="AV50" s="346"/>
      <c r="AW50" s="474"/>
      <c r="AX50" s="474"/>
      <c r="AY50" s="474"/>
      <c r="AZ50" s="474"/>
      <c r="BA50" s="346"/>
      <c r="BB50" s="346"/>
      <c r="BC50" s="346"/>
      <c r="BD50" s="346"/>
      <c r="BE50" s="471"/>
      <c r="BG50" s="466" t="s">
        <v>54</v>
      </c>
      <c r="BH50" s="173" t="s">
        <v>157</v>
      </c>
      <c r="BI50" s="355"/>
      <c r="BJ50" s="355"/>
      <c r="BK50" s="339"/>
      <c r="BL50" s="355"/>
      <c r="BM50" s="459"/>
      <c r="BN50" s="463"/>
      <c r="BO50" s="339"/>
      <c r="BP50" s="339"/>
      <c r="BQ50" s="339"/>
      <c r="BR50" s="339"/>
      <c r="BV50" s="466" t="s">
        <v>54</v>
      </c>
      <c r="BW50" s="173" t="s">
        <v>219</v>
      </c>
      <c r="BX50" s="355"/>
      <c r="BY50" s="355"/>
      <c r="BZ50" s="463"/>
      <c r="CA50" s="339"/>
      <c r="CB50" s="339"/>
      <c r="CC50" s="339"/>
      <c r="CD50" s="339"/>
      <c r="CE50" s="339"/>
      <c r="DB50" s="333">
        <f>$J28</f>
        <v>15</v>
      </c>
    </row>
    <row r="51" spans="1:108" ht="14.1" customHeight="1">
      <c r="A51" s="339"/>
      <c r="B51" s="339"/>
      <c r="C51" s="339"/>
      <c r="J51" s="475" t="s">
        <v>55</v>
      </c>
      <c r="K51" s="476" t="s">
        <v>123</v>
      </c>
      <c r="L51" s="346"/>
      <c r="M51" s="346"/>
      <c r="N51" s="346"/>
      <c r="O51" s="346"/>
      <c r="P51" s="346"/>
      <c r="Q51" s="346"/>
      <c r="R51" s="346"/>
      <c r="S51" s="346"/>
      <c r="T51" s="474" t="s">
        <v>145</v>
      </c>
      <c r="U51" s="476" t="s">
        <v>147</v>
      </c>
      <c r="V51" s="346"/>
      <c r="W51" s="346"/>
      <c r="X51" s="471"/>
      <c r="AD51" s="459"/>
      <c r="AE51" s="339"/>
      <c r="AF51" s="339"/>
      <c r="AG51" s="339"/>
      <c r="AH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G51" s="466" t="s">
        <v>55</v>
      </c>
      <c r="BH51" s="174" t="s">
        <v>166</v>
      </c>
      <c r="BI51" s="339"/>
      <c r="BJ51" s="339"/>
      <c r="BK51" s="339"/>
      <c r="BL51" s="339"/>
      <c r="BM51" s="339"/>
      <c r="BN51" s="463"/>
      <c r="BO51" s="339"/>
      <c r="BP51" s="339"/>
      <c r="BQ51" s="339"/>
      <c r="BR51" s="339"/>
      <c r="BV51" s="466" t="s">
        <v>55</v>
      </c>
      <c r="BW51" s="174" t="s">
        <v>220</v>
      </c>
      <c r="BX51" s="339"/>
      <c r="BY51" s="339"/>
      <c r="BZ51" s="463"/>
      <c r="CA51" s="339"/>
      <c r="CB51" s="339"/>
      <c r="CC51" s="339"/>
      <c r="CD51" s="339"/>
      <c r="CE51" s="339"/>
      <c r="DB51" s="333">
        <f>$J29</f>
        <v>16</v>
      </c>
    </row>
    <row r="52" spans="1:108" ht="14.1" customHeight="1">
      <c r="A52" s="477"/>
      <c r="B52" s="339"/>
      <c r="C52" s="478"/>
      <c r="K52" s="193"/>
      <c r="N52" s="187"/>
      <c r="R52" s="32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G52" s="479" t="s">
        <v>56</v>
      </c>
      <c r="BH52" s="480" t="s">
        <v>158</v>
      </c>
      <c r="BI52" s="481"/>
      <c r="BJ52" s="481"/>
      <c r="BK52" s="481"/>
      <c r="BL52" s="481"/>
      <c r="BM52" s="346"/>
      <c r="BN52" s="471"/>
      <c r="BV52" s="479"/>
      <c r="BW52" s="346"/>
      <c r="BX52" s="481"/>
      <c r="BY52" s="481"/>
      <c r="BZ52" s="482"/>
      <c r="CL52" s="427"/>
      <c r="DB52" s="369"/>
    </row>
    <row r="53" spans="1:108" ht="14.1" customHeight="1">
      <c r="A53" s="339"/>
      <c r="B53" s="339"/>
      <c r="C53" s="477"/>
      <c r="K53" s="193"/>
      <c r="N53" s="187"/>
      <c r="R53" s="321"/>
      <c r="AB53" s="369"/>
      <c r="AP53" s="45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G53" s="483"/>
      <c r="BH53" s="339"/>
      <c r="BI53" s="355"/>
      <c r="BJ53" s="355"/>
      <c r="BK53" s="355"/>
      <c r="BL53" s="355"/>
      <c r="BM53" s="339"/>
      <c r="BN53" s="339"/>
      <c r="BV53" s="483"/>
      <c r="BW53" s="339"/>
      <c r="BX53" s="355"/>
      <c r="BY53" s="355"/>
      <c r="BZ53" s="355"/>
      <c r="CL53" s="357"/>
      <c r="DD53" s="369"/>
    </row>
    <row r="54" spans="1:108" ht="14.1" customHeight="1">
      <c r="C54" s="484"/>
      <c r="K54" s="193"/>
      <c r="N54" s="187"/>
      <c r="R54" s="321"/>
      <c r="AP54" s="485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H54" s="336"/>
      <c r="BW54" s="336"/>
    </row>
    <row r="55" spans="1:108" ht="14.1" customHeight="1">
      <c r="C55" s="484"/>
      <c r="N55" s="187"/>
      <c r="R55" s="321"/>
      <c r="AP55" s="485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H55" s="336"/>
      <c r="BW55" s="336"/>
    </row>
    <row r="56" spans="1:108">
      <c r="C56" s="486"/>
      <c r="N56" s="187"/>
      <c r="Q56" s="321"/>
      <c r="AO56" s="477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G56" s="336"/>
      <c r="BV56" s="336"/>
    </row>
    <row r="57" spans="1:108">
      <c r="C57" s="487"/>
      <c r="N57" s="187"/>
      <c r="Q57" s="32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G57" s="336"/>
      <c r="BV57" s="336"/>
    </row>
    <row r="58" spans="1:108">
      <c r="C58" s="487"/>
      <c r="N58" s="187"/>
      <c r="Q58" s="321"/>
      <c r="AZ58" s="187"/>
      <c r="BG58" s="336"/>
      <c r="BV58" s="336"/>
    </row>
    <row r="59" spans="1:108">
      <c r="C59" s="488"/>
      <c r="N59" s="187"/>
      <c r="Q59" s="321"/>
      <c r="AZ59" s="187"/>
      <c r="BG59" s="336"/>
      <c r="BV59" s="336"/>
    </row>
    <row r="60" spans="1:108">
      <c r="N60" s="187"/>
      <c r="Q60" s="321"/>
      <c r="AZ60" s="187"/>
      <c r="BG60" s="336"/>
      <c r="BV60" s="336"/>
    </row>
    <row r="61" spans="1:108">
      <c r="N61" s="187"/>
      <c r="Q61" s="321"/>
      <c r="AZ61" s="187"/>
      <c r="BG61" s="336"/>
      <c r="BV61" s="336"/>
    </row>
    <row r="62" spans="1:108" ht="12" customHeight="1">
      <c r="N62" s="187"/>
      <c r="Q62" s="321"/>
      <c r="AZ62" s="187"/>
      <c r="BG62" s="336"/>
      <c r="BV62" s="336"/>
    </row>
    <row r="63" spans="1:108">
      <c r="D63" s="339"/>
      <c r="E63" s="339"/>
      <c r="F63" s="489"/>
      <c r="G63" s="489"/>
      <c r="N63" s="187"/>
      <c r="Q63" s="321"/>
      <c r="AZ63" s="187"/>
      <c r="BG63" s="336"/>
      <c r="BV63" s="336"/>
    </row>
    <row r="64" spans="1:108">
      <c r="D64" s="339"/>
      <c r="E64" s="339"/>
      <c r="F64" s="489"/>
      <c r="G64" s="489"/>
      <c r="N64" s="187"/>
      <c r="Q64" s="321"/>
      <c r="AZ64" s="187"/>
      <c r="BG64" s="336"/>
      <c r="BV64" s="336"/>
    </row>
    <row r="65" spans="1:74">
      <c r="C65" s="357"/>
      <c r="D65" s="339"/>
      <c r="E65" s="339"/>
      <c r="F65" s="339"/>
      <c r="G65" s="339"/>
      <c r="N65" s="187"/>
      <c r="Q65" s="321"/>
      <c r="AZ65" s="187"/>
      <c r="BG65" s="336"/>
      <c r="BV65" s="336"/>
    </row>
    <row r="66" spans="1:74">
      <c r="A66" s="44"/>
      <c r="B66" s="185"/>
      <c r="D66" s="339"/>
      <c r="E66" s="339"/>
      <c r="F66" s="339"/>
      <c r="G66" s="339"/>
      <c r="N66" s="187"/>
      <c r="Q66" s="321"/>
      <c r="AZ66" s="187"/>
      <c r="BG66" s="336"/>
      <c r="BV66" s="336"/>
    </row>
    <row r="67" spans="1:74">
      <c r="A67" s="44"/>
      <c r="B67" s="185"/>
      <c r="D67" s="339"/>
      <c r="E67" s="339"/>
      <c r="F67" s="339"/>
      <c r="G67" s="339"/>
      <c r="N67" s="187"/>
      <c r="Q67" s="321"/>
      <c r="AZ67" s="187"/>
      <c r="BG67" s="336"/>
      <c r="BV67" s="336"/>
    </row>
    <row r="68" spans="1:74">
      <c r="N68" s="187"/>
      <c r="Q68" s="321"/>
      <c r="AZ68" s="187"/>
      <c r="BG68" s="336"/>
      <c r="BV68" s="336"/>
    </row>
    <row r="69" spans="1:74">
      <c r="N69" s="187"/>
      <c r="Q69" s="321"/>
      <c r="AZ69" s="187"/>
      <c r="BG69" s="336"/>
      <c r="BV69" s="336"/>
    </row>
    <row r="70" spans="1:74">
      <c r="N70" s="187"/>
      <c r="Q70" s="321"/>
      <c r="AZ70" s="187"/>
      <c r="BG70" s="336"/>
      <c r="BV70" s="336"/>
    </row>
    <row r="71" spans="1:74">
      <c r="N71" s="187"/>
      <c r="Q71" s="321"/>
      <c r="AZ71" s="187"/>
      <c r="BG71" s="336"/>
      <c r="BV71" s="336"/>
    </row>
    <row r="72" spans="1:74">
      <c r="N72" s="187"/>
      <c r="Q72" s="321"/>
      <c r="AZ72" s="187"/>
      <c r="BG72" s="336"/>
      <c r="BV72" s="336"/>
    </row>
    <row r="73" spans="1:74">
      <c r="N73" s="187"/>
      <c r="Q73" s="321"/>
      <c r="AZ73" s="187"/>
      <c r="BG73" s="336"/>
      <c r="BV73" s="336"/>
    </row>
    <row r="74" spans="1:74">
      <c r="N74" s="187"/>
      <c r="Q74" s="321"/>
      <c r="AZ74" s="187"/>
      <c r="BG74" s="336"/>
      <c r="BV74" s="336"/>
    </row>
    <row r="75" spans="1:74">
      <c r="N75" s="187"/>
      <c r="Q75" s="321"/>
      <c r="AZ75" s="187"/>
      <c r="BG75" s="336"/>
      <c r="BV75" s="336"/>
    </row>
    <row r="76" spans="1:74">
      <c r="N76" s="187"/>
      <c r="Q76" s="321"/>
      <c r="AZ76" s="187"/>
      <c r="BG76" s="336"/>
      <c r="BV76" s="336"/>
    </row>
    <row r="77" spans="1:74">
      <c r="N77" s="187"/>
      <c r="Q77" s="321"/>
      <c r="AZ77" s="187"/>
      <c r="BG77" s="336"/>
      <c r="BV77" s="336"/>
    </row>
    <row r="78" spans="1:74">
      <c r="N78" s="187"/>
      <c r="Q78" s="321"/>
      <c r="AZ78" s="187"/>
      <c r="BG78" s="336"/>
      <c r="BV78" s="336"/>
    </row>
    <row r="79" spans="1:74">
      <c r="N79" s="187"/>
      <c r="Q79" s="321"/>
      <c r="AZ79" s="187"/>
      <c r="BG79" s="336"/>
      <c r="BV79" s="336"/>
    </row>
    <row r="80" spans="1:74">
      <c r="N80" s="187"/>
      <c r="Q80" s="321"/>
      <c r="AZ80" s="187"/>
      <c r="BG80" s="336"/>
      <c r="BV80" s="336"/>
    </row>
    <row r="81" spans="6:74">
      <c r="F81" s="444"/>
      <c r="G81" s="444"/>
      <c r="N81" s="187"/>
      <c r="Q81" s="321"/>
      <c r="AZ81" s="187"/>
      <c r="BG81" s="336"/>
      <c r="BV81" s="336"/>
    </row>
    <row r="82" spans="6:74">
      <c r="N82" s="187"/>
      <c r="Q82" s="321"/>
      <c r="AZ82" s="187"/>
      <c r="BG82" s="336"/>
      <c r="BV82" s="336"/>
    </row>
    <row r="83" spans="6:74">
      <c r="N83" s="187"/>
      <c r="Q83" s="321"/>
      <c r="AZ83" s="187"/>
      <c r="BG83" s="336"/>
      <c r="BV83" s="336"/>
    </row>
    <row r="84" spans="6:74">
      <c r="N84" s="187"/>
      <c r="Q84" s="321"/>
      <c r="AZ84" s="187"/>
      <c r="BG84" s="336"/>
      <c r="BV84" s="336"/>
    </row>
    <row r="85" spans="6:74">
      <c r="N85" s="187"/>
      <c r="Q85" s="321"/>
      <c r="AZ85" s="187"/>
      <c r="BG85" s="336"/>
      <c r="BV85" s="336"/>
    </row>
    <row r="86" spans="6:74">
      <c r="N86" s="187"/>
      <c r="Q86" s="321"/>
      <c r="AZ86" s="187"/>
      <c r="BG86" s="336"/>
      <c r="BV86" s="336"/>
    </row>
    <row r="87" spans="6:74">
      <c r="N87" s="187"/>
      <c r="Q87" s="321"/>
      <c r="AZ87" s="187"/>
      <c r="BG87" s="336"/>
      <c r="BV87" s="336"/>
    </row>
    <row r="88" spans="6:74">
      <c r="N88" s="187"/>
      <c r="Q88" s="321"/>
      <c r="AZ88" s="187"/>
      <c r="BG88" s="336"/>
      <c r="BV88" s="336"/>
    </row>
    <row r="89" spans="6:74">
      <c r="N89" s="187"/>
      <c r="Q89" s="321"/>
      <c r="AZ89" s="187"/>
      <c r="BG89" s="336"/>
      <c r="BV89" s="336"/>
    </row>
    <row r="90" spans="6:74">
      <c r="N90" s="187"/>
      <c r="Q90" s="321"/>
      <c r="AZ90" s="187"/>
      <c r="BG90" s="336"/>
      <c r="BV90" s="336"/>
    </row>
    <row r="91" spans="6:74">
      <c r="N91" s="187"/>
      <c r="Q91" s="321"/>
      <c r="AZ91" s="187"/>
      <c r="BG91" s="336"/>
      <c r="BV91" s="336"/>
    </row>
    <row r="92" spans="6:74">
      <c r="N92" s="187"/>
      <c r="Q92" s="321"/>
      <c r="AZ92" s="187"/>
      <c r="BG92" s="336"/>
      <c r="BV92" s="336"/>
    </row>
    <row r="93" spans="6:74">
      <c r="N93" s="187"/>
      <c r="Q93" s="321"/>
      <c r="AZ93" s="187"/>
      <c r="BG93" s="336"/>
      <c r="BV93" s="336"/>
    </row>
    <row r="94" spans="6:74">
      <c r="N94" s="187"/>
      <c r="Q94" s="321"/>
      <c r="AZ94" s="187"/>
      <c r="BG94" s="336"/>
      <c r="BV94" s="336"/>
    </row>
    <row r="95" spans="6:74">
      <c r="N95" s="187"/>
      <c r="Q95" s="321"/>
      <c r="AZ95" s="187"/>
      <c r="BG95" s="336"/>
      <c r="BV95" s="336"/>
    </row>
    <row r="96" spans="6:74">
      <c r="N96" s="187"/>
      <c r="Q96" s="321"/>
      <c r="AZ96" s="187"/>
      <c r="BG96" s="336"/>
      <c r="BV96" s="336"/>
    </row>
    <row r="97" spans="1:74">
      <c r="N97" s="187"/>
      <c r="Q97" s="321"/>
      <c r="AZ97" s="187"/>
      <c r="BG97" s="336"/>
      <c r="BV97" s="336"/>
    </row>
    <row r="98" spans="1:74">
      <c r="N98" s="187"/>
      <c r="Q98" s="321"/>
      <c r="AZ98" s="187"/>
      <c r="BG98" s="336"/>
      <c r="BV98" s="336"/>
    </row>
    <row r="99" spans="1:74">
      <c r="N99" s="187"/>
      <c r="Q99" s="321"/>
      <c r="AZ99" s="187"/>
      <c r="BG99" s="336"/>
      <c r="BV99" s="336"/>
    </row>
    <row r="100" spans="1:74">
      <c r="N100" s="187"/>
      <c r="Q100" s="321"/>
      <c r="AZ100" s="187"/>
      <c r="BG100" s="336"/>
      <c r="BV100" s="336"/>
    </row>
    <row r="101" spans="1:74">
      <c r="N101" s="187"/>
      <c r="Q101" s="321"/>
      <c r="AZ101" s="187"/>
      <c r="BG101" s="336"/>
      <c r="BV101" s="336"/>
    </row>
    <row r="102" spans="1:74">
      <c r="N102" s="187"/>
      <c r="Q102" s="321"/>
      <c r="AZ102" s="187"/>
      <c r="BG102" s="336"/>
      <c r="BV102" s="336"/>
    </row>
    <row r="103" spans="1:74">
      <c r="N103" s="187"/>
      <c r="Q103" s="321"/>
      <c r="AZ103" s="187"/>
      <c r="BG103" s="336"/>
      <c r="BV103" s="336"/>
    </row>
    <row r="104" spans="1:74">
      <c r="N104" s="187"/>
      <c r="Q104" s="321"/>
      <c r="AZ104" s="187"/>
      <c r="BG104" s="336"/>
      <c r="BV104" s="336"/>
    </row>
    <row r="105" spans="1:74">
      <c r="E105" s="490"/>
      <c r="N105" s="187"/>
      <c r="Q105" s="321"/>
      <c r="AZ105" s="187"/>
      <c r="BG105" s="336"/>
      <c r="BV105" s="336"/>
    </row>
    <row r="106" spans="1:74">
      <c r="N106" s="187"/>
      <c r="Q106" s="321"/>
      <c r="AZ106" s="187"/>
      <c r="BG106" s="336"/>
      <c r="BV106" s="336"/>
    </row>
    <row r="107" spans="1:74">
      <c r="N107" s="187"/>
      <c r="Q107" s="321"/>
      <c r="AZ107" s="187"/>
      <c r="BG107" s="336"/>
      <c r="BV107" s="336"/>
    </row>
    <row r="108" spans="1:74">
      <c r="N108" s="187"/>
      <c r="Q108" s="321"/>
      <c r="AZ108" s="187"/>
      <c r="BG108" s="336"/>
      <c r="BV108" s="336"/>
    </row>
    <row r="109" spans="1:74">
      <c r="N109" s="187"/>
      <c r="Q109" s="321"/>
      <c r="AZ109" s="187"/>
      <c r="BG109" s="336"/>
      <c r="BV109" s="336"/>
    </row>
    <row r="110" spans="1:74">
      <c r="N110" s="187"/>
      <c r="Q110" s="321"/>
      <c r="AZ110" s="187"/>
      <c r="BG110" s="336"/>
      <c r="BV110" s="336"/>
    </row>
    <row r="111" spans="1:74">
      <c r="A111" s="44"/>
      <c r="B111" s="185"/>
      <c r="N111" s="187"/>
      <c r="Q111" s="321"/>
      <c r="AZ111" s="187"/>
      <c r="BG111" s="336"/>
      <c r="BV111" s="336"/>
    </row>
    <row r="112" spans="1:74">
      <c r="N112" s="187"/>
      <c r="Q112" s="321"/>
      <c r="AZ112" s="187"/>
      <c r="BG112" s="336"/>
      <c r="BV112" s="336"/>
    </row>
    <row r="113" spans="1:74">
      <c r="N113" s="187"/>
      <c r="Q113" s="321"/>
      <c r="AZ113" s="187"/>
      <c r="BG113" s="336"/>
      <c r="BV113" s="336"/>
    </row>
    <row r="114" spans="1:74">
      <c r="N114" s="187"/>
      <c r="Q114" s="321"/>
      <c r="AZ114" s="187"/>
      <c r="BG114" s="336"/>
      <c r="BV114" s="336"/>
    </row>
    <row r="115" spans="1:74">
      <c r="N115" s="187"/>
      <c r="Q115" s="321"/>
      <c r="AZ115" s="187"/>
      <c r="BG115" s="336"/>
      <c r="BV115" s="336"/>
    </row>
    <row r="116" spans="1:74">
      <c r="N116" s="187"/>
      <c r="Q116" s="321"/>
      <c r="AZ116" s="187"/>
      <c r="BG116" s="336"/>
      <c r="BV116" s="336"/>
    </row>
    <row r="117" spans="1:74">
      <c r="N117" s="187"/>
      <c r="Q117" s="321"/>
      <c r="AZ117" s="187"/>
      <c r="BG117" s="336"/>
      <c r="BV117" s="336"/>
    </row>
    <row r="118" spans="1:74">
      <c r="N118" s="187"/>
      <c r="Q118" s="321"/>
      <c r="AZ118" s="187"/>
      <c r="BG118" s="336"/>
      <c r="BV118" s="336"/>
    </row>
    <row r="119" spans="1:74">
      <c r="N119" s="187"/>
      <c r="Q119" s="321"/>
      <c r="AZ119" s="187"/>
      <c r="BG119" s="336"/>
      <c r="BV119" s="336"/>
    </row>
    <row r="120" spans="1:74">
      <c r="N120" s="187"/>
      <c r="Q120" s="321"/>
      <c r="AZ120" s="187"/>
      <c r="BG120" s="336"/>
      <c r="BV120" s="336"/>
    </row>
    <row r="121" spans="1:74">
      <c r="N121" s="187"/>
      <c r="Q121" s="321"/>
      <c r="AZ121" s="187"/>
      <c r="BG121" s="336"/>
      <c r="BV121" s="336"/>
    </row>
    <row r="122" spans="1:74">
      <c r="N122" s="187"/>
      <c r="Q122" s="321"/>
      <c r="AZ122" s="187"/>
      <c r="BG122" s="336"/>
      <c r="BV122" s="336"/>
    </row>
    <row r="123" spans="1:74">
      <c r="N123" s="187"/>
      <c r="Q123" s="321"/>
      <c r="AZ123" s="187"/>
      <c r="BG123" s="336"/>
      <c r="BV123" s="336"/>
    </row>
    <row r="124" spans="1:74">
      <c r="N124" s="187"/>
      <c r="Q124" s="321"/>
      <c r="AZ124" s="187"/>
      <c r="BG124" s="336"/>
      <c r="BV124" s="336"/>
    </row>
    <row r="125" spans="1:74">
      <c r="N125" s="187"/>
      <c r="Q125" s="321"/>
      <c r="AZ125" s="187"/>
      <c r="BG125" s="336"/>
      <c r="BV125" s="336"/>
    </row>
    <row r="126" spans="1:74">
      <c r="N126" s="187"/>
      <c r="Q126" s="321"/>
      <c r="AZ126" s="187"/>
      <c r="BG126" s="336"/>
      <c r="BV126" s="336"/>
    </row>
    <row r="127" spans="1:74">
      <c r="N127" s="187"/>
      <c r="Q127" s="321"/>
      <c r="AZ127" s="187"/>
      <c r="BG127" s="336"/>
      <c r="BV127" s="336"/>
    </row>
    <row r="128" spans="1:74">
      <c r="A128" s="185"/>
      <c r="N128" s="187"/>
      <c r="Q128" s="321"/>
      <c r="AZ128" s="187"/>
      <c r="BG128" s="336"/>
      <c r="BV128" s="336"/>
    </row>
    <row r="129" spans="1:74">
      <c r="A129" s="185"/>
      <c r="N129" s="187"/>
      <c r="Q129" s="321"/>
      <c r="AZ129" s="187"/>
      <c r="BG129" s="336"/>
      <c r="BV129" s="336"/>
    </row>
    <row r="130" spans="1:74">
      <c r="A130" s="185"/>
      <c r="B130" s="185"/>
      <c r="N130" s="187"/>
      <c r="Q130" s="321"/>
      <c r="AZ130" s="187"/>
      <c r="BG130" s="336"/>
      <c r="BV130" s="336"/>
    </row>
    <row r="131" spans="1:74">
      <c r="N131" s="187"/>
      <c r="Q131" s="321"/>
      <c r="AZ131" s="187"/>
      <c r="BG131" s="336"/>
      <c r="BV131" s="336"/>
    </row>
    <row r="132" spans="1:74">
      <c r="A132" s="185"/>
      <c r="B132" s="185"/>
      <c r="N132" s="187"/>
      <c r="Q132" s="321"/>
      <c r="AZ132" s="187"/>
      <c r="BG132" s="336"/>
      <c r="BV132" s="336"/>
    </row>
    <row r="133" spans="1:74">
      <c r="N133" s="187"/>
      <c r="Q133" s="321"/>
      <c r="AZ133" s="187"/>
      <c r="BG133" s="336"/>
      <c r="BV133" s="336"/>
    </row>
    <row r="134" spans="1:74">
      <c r="A134" s="185"/>
      <c r="B134" s="185"/>
      <c r="N134" s="187"/>
      <c r="Q134" s="321"/>
      <c r="AZ134" s="187"/>
      <c r="BG134" s="336"/>
      <c r="BV134" s="336"/>
    </row>
    <row r="135" spans="1:74">
      <c r="N135" s="187"/>
      <c r="Q135" s="321"/>
      <c r="AZ135" s="187"/>
      <c r="BG135" s="336"/>
      <c r="BV135" s="336"/>
    </row>
    <row r="136" spans="1:74">
      <c r="A136" s="185"/>
      <c r="B136" s="185"/>
      <c r="N136" s="187"/>
      <c r="Q136" s="321"/>
      <c r="AZ136" s="187"/>
      <c r="BG136" s="336"/>
      <c r="BV136" s="336"/>
    </row>
    <row r="137" spans="1:74">
      <c r="N137" s="187"/>
      <c r="Q137" s="321"/>
      <c r="AZ137" s="187"/>
      <c r="BG137" s="336"/>
      <c r="BV137" s="336"/>
    </row>
    <row r="138" spans="1:74">
      <c r="A138" s="185"/>
      <c r="B138" s="185"/>
      <c r="N138" s="187"/>
      <c r="Q138" s="321"/>
      <c r="AZ138" s="187"/>
      <c r="BG138" s="336"/>
      <c r="BV138" s="336"/>
    </row>
    <row r="139" spans="1:74">
      <c r="N139" s="187"/>
      <c r="Q139" s="321"/>
      <c r="AZ139" s="187"/>
      <c r="BG139" s="336"/>
      <c r="BV139" s="336"/>
    </row>
    <row r="140" spans="1:74">
      <c r="A140" s="185"/>
      <c r="B140" s="185"/>
      <c r="N140" s="187"/>
      <c r="Q140" s="321"/>
      <c r="AZ140" s="187"/>
      <c r="BG140" s="336"/>
      <c r="BV140" s="336"/>
    </row>
    <row r="141" spans="1:74">
      <c r="N141" s="187"/>
      <c r="Q141" s="321"/>
      <c r="AZ141" s="187"/>
      <c r="BG141" s="336"/>
      <c r="BV141" s="336"/>
    </row>
    <row r="142" spans="1:74">
      <c r="A142" s="185"/>
      <c r="B142" s="185"/>
      <c r="N142" s="187"/>
      <c r="Q142" s="321"/>
      <c r="AZ142" s="187"/>
      <c r="BG142" s="336"/>
      <c r="BV142" s="336"/>
    </row>
    <row r="143" spans="1:74">
      <c r="N143" s="187"/>
      <c r="Q143" s="321"/>
      <c r="AZ143" s="187"/>
      <c r="BG143" s="336"/>
      <c r="BV143" s="336"/>
    </row>
    <row r="144" spans="1:74">
      <c r="A144" s="185"/>
      <c r="B144" s="185"/>
      <c r="N144" s="187"/>
      <c r="Q144" s="321"/>
      <c r="AZ144" s="187"/>
      <c r="BG144" s="336"/>
      <c r="BV144" s="336"/>
    </row>
    <row r="145" spans="1:74">
      <c r="N145" s="187"/>
      <c r="Q145" s="321"/>
      <c r="AZ145" s="187"/>
      <c r="BG145" s="336"/>
      <c r="BV145" s="336"/>
    </row>
    <row r="146" spans="1:74">
      <c r="N146" s="187"/>
      <c r="Q146" s="321"/>
      <c r="AZ146" s="187"/>
      <c r="BG146" s="336"/>
      <c r="BV146" s="336"/>
    </row>
    <row r="147" spans="1:74">
      <c r="N147" s="187"/>
      <c r="Q147" s="321"/>
      <c r="AZ147" s="187"/>
      <c r="BG147" s="336"/>
      <c r="BV147" s="336"/>
    </row>
    <row r="148" spans="1:74">
      <c r="A148" s="185"/>
      <c r="N148" s="187"/>
      <c r="Q148" s="321"/>
      <c r="AZ148" s="187"/>
      <c r="BG148" s="336"/>
      <c r="BV148" s="336"/>
    </row>
    <row r="149" spans="1:74">
      <c r="A149" s="185"/>
      <c r="N149" s="187"/>
      <c r="Q149" s="321"/>
      <c r="AZ149" s="187"/>
      <c r="BG149" s="336"/>
      <c r="BV149" s="336"/>
    </row>
    <row r="150" spans="1:74">
      <c r="A150" s="185"/>
      <c r="B150" s="185"/>
      <c r="N150" s="187"/>
      <c r="Q150" s="321"/>
      <c r="AZ150" s="187"/>
      <c r="BG150" s="336"/>
      <c r="BV150" s="336"/>
    </row>
    <row r="151" spans="1:74">
      <c r="B151" s="185"/>
      <c r="N151" s="187"/>
      <c r="Q151" s="321"/>
      <c r="AZ151" s="187"/>
      <c r="BG151" s="336"/>
      <c r="BV151" s="336"/>
    </row>
    <row r="152" spans="1:74">
      <c r="B152" s="185"/>
      <c r="N152" s="187"/>
      <c r="Q152" s="321"/>
      <c r="AZ152" s="187"/>
      <c r="BG152" s="336"/>
      <c r="BV152" s="336"/>
    </row>
    <row r="153" spans="1:74">
      <c r="B153" s="185"/>
      <c r="N153" s="187"/>
      <c r="Q153" s="321"/>
      <c r="AZ153" s="187"/>
      <c r="BG153" s="336"/>
      <c r="BV153" s="336"/>
    </row>
    <row r="154" spans="1:74">
      <c r="B154" s="185"/>
      <c r="N154" s="187"/>
      <c r="Q154" s="321"/>
      <c r="AZ154" s="187"/>
      <c r="BG154" s="336"/>
      <c r="BV154" s="336"/>
    </row>
    <row r="155" spans="1:74">
      <c r="B155" s="185"/>
      <c r="N155" s="187"/>
      <c r="Q155" s="321"/>
      <c r="AZ155" s="187"/>
      <c r="BG155" s="336"/>
      <c r="BV155" s="336"/>
    </row>
    <row r="156" spans="1:74">
      <c r="B156" s="185"/>
      <c r="N156" s="187"/>
      <c r="Q156" s="321"/>
      <c r="AZ156" s="187"/>
      <c r="BG156" s="336"/>
      <c r="BV156" s="336"/>
    </row>
    <row r="157" spans="1:74">
      <c r="B157" s="185"/>
      <c r="N157" s="187"/>
      <c r="Q157" s="321"/>
      <c r="AZ157" s="187"/>
      <c r="BG157" s="336"/>
      <c r="BV157" s="336"/>
    </row>
    <row r="158" spans="1:74">
      <c r="N158" s="187"/>
      <c r="Q158" s="321"/>
      <c r="AZ158" s="187"/>
      <c r="BG158" s="336"/>
      <c r="BV158" s="336"/>
    </row>
    <row r="159" spans="1:74">
      <c r="N159" s="187"/>
      <c r="Q159" s="321"/>
      <c r="AZ159" s="187"/>
      <c r="BG159" s="336"/>
      <c r="BV159" s="336"/>
    </row>
    <row r="160" spans="1:74">
      <c r="N160" s="187"/>
      <c r="Q160" s="321"/>
      <c r="AZ160" s="187"/>
      <c r="BG160" s="336"/>
      <c r="BV160" s="336"/>
    </row>
    <row r="161" spans="1:74">
      <c r="A161" s="185"/>
      <c r="B161" s="185"/>
      <c r="N161" s="187"/>
      <c r="Q161" s="321"/>
      <c r="AZ161" s="187"/>
      <c r="BG161" s="336"/>
      <c r="BV161" s="336"/>
    </row>
    <row r="162" spans="1:74">
      <c r="B162" s="185"/>
      <c r="N162" s="187"/>
      <c r="Q162" s="321"/>
      <c r="AZ162" s="187"/>
      <c r="BG162" s="336"/>
      <c r="BV162" s="336"/>
    </row>
    <row r="163" spans="1:74">
      <c r="N163" s="187"/>
      <c r="Q163" s="321"/>
      <c r="AZ163" s="187"/>
      <c r="BG163" s="336"/>
      <c r="BV163" s="336"/>
    </row>
    <row r="164" spans="1:74">
      <c r="N164" s="187"/>
      <c r="Q164" s="321"/>
      <c r="AZ164" s="187"/>
      <c r="BG164" s="336"/>
      <c r="BV164" s="336"/>
    </row>
    <row r="165" spans="1:74">
      <c r="N165" s="187"/>
      <c r="Q165" s="321"/>
      <c r="AZ165" s="187"/>
      <c r="BG165" s="336"/>
      <c r="BV165" s="336"/>
    </row>
    <row r="166" spans="1:74">
      <c r="N166" s="187"/>
      <c r="Q166" s="321"/>
      <c r="AZ166" s="187"/>
      <c r="BG166" s="336"/>
      <c r="BV166" s="336"/>
    </row>
    <row r="167" spans="1:74">
      <c r="N167" s="187"/>
      <c r="Q167" s="321"/>
      <c r="AZ167" s="187"/>
      <c r="BG167" s="336"/>
      <c r="BV167" s="336"/>
    </row>
    <row r="168" spans="1:74">
      <c r="A168" s="185"/>
      <c r="N168" s="187"/>
      <c r="Q168" s="321"/>
      <c r="AZ168" s="187"/>
      <c r="BG168" s="336"/>
      <c r="BV168" s="336"/>
    </row>
    <row r="169" spans="1:74">
      <c r="A169" s="185"/>
      <c r="N169" s="187"/>
      <c r="Q169" s="321"/>
      <c r="AZ169" s="187"/>
      <c r="BG169" s="336"/>
      <c r="BV169" s="336"/>
    </row>
    <row r="170" spans="1:74">
      <c r="A170" s="185"/>
      <c r="B170" s="185"/>
      <c r="N170" s="187"/>
      <c r="Q170" s="321"/>
      <c r="AZ170" s="187"/>
      <c r="BG170" s="336"/>
      <c r="BV170" s="336"/>
    </row>
    <row r="171" spans="1:74">
      <c r="B171" s="185"/>
      <c r="N171" s="187"/>
      <c r="Q171" s="321"/>
      <c r="AZ171" s="187"/>
      <c r="BG171" s="336"/>
      <c r="BV171" s="336"/>
    </row>
    <row r="172" spans="1:74">
      <c r="A172" s="185"/>
      <c r="B172" s="185"/>
      <c r="N172" s="187"/>
      <c r="Q172" s="321"/>
      <c r="AZ172" s="187"/>
      <c r="BG172" s="336"/>
      <c r="BV172" s="336"/>
    </row>
    <row r="173" spans="1:74">
      <c r="AZ173" s="187"/>
      <c r="BC173" s="336"/>
    </row>
    <row r="174" spans="1:74">
      <c r="AZ174" s="187"/>
      <c r="BC174" s="336"/>
    </row>
    <row r="175" spans="1:74">
      <c r="AZ175" s="187"/>
      <c r="BC175" s="336"/>
    </row>
    <row r="176" spans="1:74">
      <c r="AZ176" s="187"/>
      <c r="BC176" s="336"/>
    </row>
    <row r="177" spans="52:55">
      <c r="AZ177" s="187"/>
      <c r="BC177" s="336"/>
    </row>
    <row r="178" spans="52:55">
      <c r="AZ178" s="187"/>
      <c r="BC178" s="336"/>
    </row>
    <row r="179" spans="52:55">
      <c r="AZ179" s="187"/>
      <c r="BC179" s="336"/>
    </row>
    <row r="180" spans="52:55">
      <c r="AZ180" s="187"/>
      <c r="BC180" s="336"/>
    </row>
    <row r="181" spans="52:55">
      <c r="AZ181" s="187"/>
      <c r="BC181" s="336"/>
    </row>
    <row r="182" spans="52:55">
      <c r="AZ182" s="187"/>
      <c r="BC182" s="336"/>
    </row>
    <row r="183" spans="52:55">
      <c r="AZ183" s="187"/>
      <c r="BC183" s="336"/>
    </row>
    <row r="184" spans="52:55">
      <c r="AZ184" s="187"/>
      <c r="BC184" s="336"/>
    </row>
    <row r="185" spans="52:55">
      <c r="AZ185" s="187"/>
      <c r="BC185" s="336"/>
    </row>
    <row r="186" spans="52:55">
      <c r="AZ186" s="187"/>
      <c r="BC186" s="336"/>
    </row>
    <row r="187" spans="52:55">
      <c r="AZ187" s="187"/>
      <c r="BC187" s="336"/>
    </row>
    <row r="188" spans="52:55">
      <c r="AZ188" s="187"/>
      <c r="BC188" s="336"/>
    </row>
    <row r="189" spans="52:55">
      <c r="AZ189" s="187"/>
      <c r="BC189" s="336"/>
    </row>
    <row r="190" spans="52:55">
      <c r="AZ190" s="187"/>
      <c r="BC190" s="336"/>
    </row>
    <row r="191" spans="52:55">
      <c r="AZ191" s="187"/>
      <c r="BC191" s="336"/>
    </row>
    <row r="192" spans="52:55">
      <c r="AZ192" s="187"/>
      <c r="BC192" s="336"/>
    </row>
    <row r="193" spans="52:55">
      <c r="AZ193" s="187"/>
      <c r="BC193" s="336"/>
    </row>
    <row r="194" spans="52:55">
      <c r="AZ194" s="187"/>
      <c r="BC194" s="336"/>
    </row>
    <row r="195" spans="52:55">
      <c r="AZ195" s="187"/>
      <c r="BC195" s="336"/>
    </row>
    <row r="196" spans="52:55">
      <c r="AZ196" s="187"/>
      <c r="BC196" s="336"/>
    </row>
    <row r="197" spans="52:55">
      <c r="AZ197" s="187"/>
      <c r="BC197" s="336"/>
    </row>
    <row r="198" spans="52:55">
      <c r="AZ198" s="187"/>
      <c r="BC198" s="336"/>
    </row>
    <row r="199" spans="52:55">
      <c r="AZ199" s="187"/>
      <c r="BC199" s="336"/>
    </row>
    <row r="200" spans="52:55">
      <c r="AZ200" s="187"/>
      <c r="BC200" s="336"/>
    </row>
    <row r="201" spans="52:55">
      <c r="AZ201" s="187"/>
      <c r="BC201" s="336"/>
    </row>
    <row r="202" spans="52:55">
      <c r="AZ202" s="187"/>
      <c r="BC202" s="336"/>
    </row>
    <row r="203" spans="52:55">
      <c r="AZ203" s="187"/>
      <c r="BC203" s="336"/>
    </row>
    <row r="204" spans="52:55">
      <c r="AZ204" s="187"/>
      <c r="BC204" s="336"/>
    </row>
    <row r="205" spans="52:55">
      <c r="AZ205" s="187"/>
      <c r="BC205" s="336"/>
    </row>
    <row r="206" spans="52:55">
      <c r="AZ206" s="187"/>
      <c r="BC206" s="336"/>
    </row>
    <row r="207" spans="52:55">
      <c r="AZ207" s="187"/>
      <c r="BC207" s="336"/>
    </row>
    <row r="208" spans="52:55">
      <c r="AZ208" s="187"/>
      <c r="BC208" s="336"/>
    </row>
    <row r="209" spans="52:55">
      <c r="AZ209" s="187"/>
      <c r="BC209" s="336"/>
    </row>
    <row r="210" spans="52:55">
      <c r="AZ210" s="187"/>
      <c r="BC210" s="336"/>
    </row>
    <row r="211" spans="52:55">
      <c r="AZ211" s="187"/>
      <c r="BC211" s="336"/>
    </row>
    <row r="212" spans="52:55">
      <c r="AZ212" s="187"/>
      <c r="BC212" s="336"/>
    </row>
    <row r="213" spans="52:55">
      <c r="AZ213" s="187"/>
      <c r="BC213" s="336"/>
    </row>
    <row r="214" spans="52:55">
      <c r="AZ214" s="187"/>
      <c r="BC214" s="336"/>
    </row>
  </sheetData>
  <printOptions horizontalCentered="1" gridLinesSet="0"/>
  <pageMargins left="0.25" right="0.25" top="0.7" bottom="0.37" header="0.5" footer="0.2"/>
  <pageSetup scale="83" orientation="landscape" r:id="rId1"/>
  <headerFooter alignWithMargins="0">
    <oddFooter>&amp;C&amp;P</oddFooter>
  </headerFooter>
  <colBreaks count="5" manualBreakCount="5">
    <brk id="9" max="51" man="1"/>
    <brk id="29" max="51" man="1"/>
    <brk id="41" max="51" man="1"/>
    <brk id="58" max="51" man="1"/>
    <brk id="73" max="51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214"/>
  <sheetViews>
    <sheetView showGridLines="0" topLeftCell="BB1" workbookViewId="0">
      <selection activeCell="CK45" sqref="CK45"/>
    </sheetView>
  </sheetViews>
  <sheetFormatPr defaultColWidth="10.6640625" defaultRowHeight="13.2"/>
  <cols>
    <col min="1" max="1" width="29.33203125" style="187" customWidth="1"/>
    <col min="2" max="2" width="10.6640625" style="187" customWidth="1"/>
    <col min="3" max="3" width="13" style="187" customWidth="1"/>
    <col min="4" max="4" width="4.6640625" style="187" customWidth="1"/>
    <col min="5" max="5" width="44.88671875" style="187" customWidth="1"/>
    <col min="6" max="6" width="9.109375" style="187" bestFit="1" customWidth="1"/>
    <col min="7" max="8" width="11.6640625" style="187" bestFit="1" customWidth="1"/>
    <col min="9" max="9" width="3.6640625" style="187" customWidth="1"/>
    <col min="10" max="10" width="2.88671875" style="187" customWidth="1"/>
    <col min="11" max="11" width="4" style="187" customWidth="1"/>
    <col min="12" max="12" width="10.33203125" style="187" customWidth="1"/>
    <col min="13" max="13" width="9" style="187" customWidth="1"/>
    <col min="14" max="14" width="10.44140625" style="321" bestFit="1" customWidth="1"/>
    <col min="15" max="15" width="10.44140625" style="187" bestFit="1" customWidth="1"/>
    <col min="16" max="17" width="7.6640625" style="187" bestFit="1" customWidth="1"/>
    <col min="18" max="18" width="7.44140625" style="187" bestFit="1" customWidth="1"/>
    <col min="19" max="19" width="9.33203125" style="187" bestFit="1" customWidth="1"/>
    <col min="20" max="20" width="7.88671875" style="187" bestFit="1" customWidth="1"/>
    <col min="21" max="22" width="9.109375" style="187" bestFit="1" customWidth="1"/>
    <col min="23" max="23" width="10.33203125" style="187" bestFit="1" customWidth="1"/>
    <col min="24" max="24" width="8.88671875" style="187" customWidth="1"/>
    <col min="25" max="25" width="8" style="187" bestFit="1" customWidth="1"/>
    <col min="26" max="26" width="8.109375" style="187" bestFit="1" customWidth="1"/>
    <col min="27" max="27" width="9.33203125" style="187" customWidth="1"/>
    <col min="28" max="28" width="9.109375" style="187" bestFit="1" customWidth="1"/>
    <col min="29" max="29" width="3.5546875" style="187" customWidth="1"/>
    <col min="30" max="30" width="2.88671875" style="187" customWidth="1"/>
    <col min="31" max="31" width="7.88671875" style="187" customWidth="1"/>
    <col min="32" max="32" width="12.6640625" style="187" customWidth="1"/>
    <col min="33" max="33" width="10.109375" style="187" customWidth="1"/>
    <col min="34" max="34" width="9.109375" style="187" bestFit="1" customWidth="1"/>
    <col min="35" max="35" width="2.6640625" style="187" customWidth="1"/>
    <col min="36" max="36" width="8" style="187" bestFit="1" customWidth="1"/>
    <col min="37" max="37" width="8.109375" style="187" bestFit="1" customWidth="1"/>
    <col min="38" max="38" width="9.5546875" style="187" customWidth="1"/>
    <col min="39" max="39" width="2.6640625" style="187" customWidth="1"/>
    <col min="40" max="40" width="9.109375" style="187" bestFit="1" customWidth="1"/>
    <col min="41" max="41" width="3.88671875" style="187" customWidth="1"/>
    <col min="42" max="42" width="3.33203125" style="187" customWidth="1"/>
    <col min="43" max="43" width="7.88671875" style="187" customWidth="1"/>
    <col min="44" max="44" width="8.44140625" style="187" bestFit="1" customWidth="1"/>
    <col min="45" max="45" width="9.109375" style="187" bestFit="1" customWidth="1"/>
    <col min="46" max="47" width="8.33203125" style="187" bestFit="1" customWidth="1"/>
    <col min="48" max="49" width="12.5546875" style="187" bestFit="1" customWidth="1"/>
    <col min="50" max="50" width="11.109375" style="187" hidden="1" customWidth="1"/>
    <col min="51" max="51" width="2.6640625" style="187" hidden="1" customWidth="1"/>
    <col min="52" max="52" width="10.109375" style="336" customWidth="1"/>
    <col min="53" max="53" width="2.6640625" style="187" customWidth="1"/>
    <col min="54" max="54" width="8.109375" style="187" bestFit="1" customWidth="1"/>
    <col min="55" max="55" width="11.109375" style="187" bestFit="1" customWidth="1"/>
    <col min="56" max="56" width="8.109375" style="187" bestFit="1" customWidth="1"/>
    <col min="57" max="57" width="9.109375" style="187" bestFit="1" customWidth="1"/>
    <col min="58" max="58" width="3.6640625" style="187" customWidth="1"/>
    <col min="59" max="59" width="2.88671875" style="187" customWidth="1"/>
    <col min="60" max="60" width="9.88671875" style="187" customWidth="1"/>
    <col min="61" max="61" width="9.88671875" style="187" bestFit="1" customWidth="1"/>
    <col min="62" max="62" width="9.33203125" style="187" bestFit="1" customWidth="1"/>
    <col min="63" max="63" width="8.109375" style="187" bestFit="1" customWidth="1"/>
    <col min="64" max="64" width="7.44140625" style="187" bestFit="1" customWidth="1"/>
    <col min="65" max="65" width="10.109375" style="187" bestFit="1" customWidth="1"/>
    <col min="66" max="66" width="8.33203125" style="187" bestFit="1" customWidth="1"/>
    <col min="67" max="67" width="10.88671875" style="187" hidden="1" customWidth="1"/>
    <col min="68" max="68" width="9.109375" style="187" bestFit="1" customWidth="1"/>
    <col min="69" max="69" width="2.6640625" style="187" customWidth="1"/>
    <col min="70" max="70" width="9.88671875" style="187" bestFit="1" customWidth="1"/>
    <col min="71" max="71" width="2.6640625" style="187" customWidth="1"/>
    <col min="72" max="72" width="9.109375" style="187" bestFit="1" customWidth="1"/>
    <col min="73" max="73" width="3.6640625" style="187" customWidth="1"/>
    <col min="74" max="74" width="3.5546875" style="187" customWidth="1"/>
    <col min="75" max="75" width="7.33203125" style="187" customWidth="1"/>
    <col min="76" max="76" width="9.88671875" style="187" bestFit="1" customWidth="1"/>
    <col min="77" max="77" width="9.88671875" style="187" customWidth="1"/>
    <col min="78" max="78" width="8.33203125" style="187" bestFit="1" customWidth="1"/>
    <col min="79" max="79" width="9.109375" style="187" bestFit="1" customWidth="1"/>
    <col min="80" max="80" width="2.6640625" style="187" customWidth="1"/>
    <col min="81" max="81" width="8.109375" style="187" bestFit="1" customWidth="1"/>
    <col min="82" max="82" width="11.109375" style="187" bestFit="1" customWidth="1"/>
    <col min="83" max="83" width="8.109375" style="187" bestFit="1" customWidth="1"/>
    <col min="84" max="84" width="2.6640625" style="187" customWidth="1"/>
    <col min="85" max="85" width="9.109375" style="187" bestFit="1" customWidth="1"/>
    <col min="86" max="86" width="8.6640625" style="187" customWidth="1"/>
    <col min="87" max="88" width="10.6640625" style="187" customWidth="1"/>
    <col min="89" max="89" width="1.6640625" style="187" customWidth="1"/>
    <col min="90" max="93" width="8.6640625" style="187" customWidth="1"/>
    <col min="94" max="94" width="1.6640625" style="187" customWidth="1"/>
    <col min="95" max="95" width="9.6640625" style="187" customWidth="1"/>
    <col min="96" max="96" width="2.6640625" style="187" customWidth="1"/>
    <col min="97" max="97" width="10.6640625" style="187" customWidth="1"/>
    <col min="98" max="98" width="8.6640625" style="187" customWidth="1"/>
    <col min="99" max="99" width="9.6640625" style="187" customWidth="1"/>
    <col min="100" max="246" width="8.6640625" style="187" customWidth="1"/>
    <col min="247" max="16384" width="10.6640625" style="187"/>
  </cols>
  <sheetData>
    <row r="1" spans="1:106">
      <c r="A1" s="55" t="s">
        <v>109</v>
      </c>
      <c r="B1" s="55"/>
      <c r="C1" s="56"/>
      <c r="D1" s="55"/>
      <c r="E1" s="56"/>
      <c r="F1" s="55"/>
      <c r="G1" s="55"/>
      <c r="H1" s="332"/>
      <c r="K1" s="1" t="s">
        <v>1</v>
      </c>
      <c r="M1" s="333"/>
      <c r="N1" s="187"/>
      <c r="R1" s="321"/>
      <c r="T1" s="185"/>
      <c r="U1" s="185"/>
      <c r="AD1" s="1" t="s">
        <v>2</v>
      </c>
      <c r="AF1" s="333"/>
      <c r="AG1" s="185"/>
      <c r="AP1" s="1" t="s">
        <v>3</v>
      </c>
      <c r="AR1" s="333"/>
      <c r="AZ1" s="187"/>
      <c r="BC1" s="334"/>
      <c r="BG1" s="1" t="s">
        <v>4</v>
      </c>
      <c r="BJ1" s="185"/>
      <c r="BV1" s="1" t="s">
        <v>215</v>
      </c>
      <c r="BY1" s="185"/>
    </row>
    <row r="2" spans="1:106">
      <c r="A2" s="56" t="s">
        <v>108</v>
      </c>
      <c r="B2" s="55"/>
      <c r="C2" s="55"/>
      <c r="D2" s="55"/>
      <c r="E2" s="55"/>
      <c r="F2" s="55"/>
      <c r="G2" s="55"/>
      <c r="H2" s="332"/>
      <c r="K2" s="1" t="s">
        <v>5</v>
      </c>
      <c r="N2" s="187"/>
      <c r="R2" s="321"/>
      <c r="T2" s="185"/>
      <c r="U2" s="185"/>
      <c r="AD2" s="1" t="s">
        <v>6</v>
      </c>
      <c r="AG2" s="185"/>
      <c r="AP2" s="1" t="s">
        <v>7</v>
      </c>
      <c r="AZ2" s="187"/>
      <c r="BC2" s="334"/>
      <c r="BD2" s="334"/>
      <c r="BG2" s="1" t="s">
        <v>8</v>
      </c>
      <c r="BJ2" s="185"/>
      <c r="BO2" s="185"/>
      <c r="BV2" s="1" t="s">
        <v>216</v>
      </c>
      <c r="BY2" s="185"/>
    </row>
    <row r="3" spans="1:106">
      <c r="B3" s="335"/>
      <c r="C3" s="335"/>
      <c r="N3" s="187"/>
      <c r="R3" s="321"/>
      <c r="AZ3" s="187"/>
      <c r="BD3" s="334"/>
      <c r="BG3" s="336"/>
      <c r="BO3" s="185"/>
      <c r="BV3" s="336"/>
    </row>
    <row r="4" spans="1:106">
      <c r="A4" s="337" t="s">
        <v>9</v>
      </c>
      <c r="B4" s="7" t="s">
        <v>94</v>
      </c>
      <c r="K4" s="185" t="s">
        <v>9</v>
      </c>
      <c r="M4" s="10" t="str">
        <f>B4</f>
        <v>Montana-Dakota Utilities Co.</v>
      </c>
      <c r="N4" s="187"/>
      <c r="R4" s="321"/>
      <c r="S4" s="166"/>
      <c r="AD4" s="185" t="s">
        <v>9</v>
      </c>
      <c r="AF4" s="10" t="str">
        <f>B4</f>
        <v>Montana-Dakota Utilities Co.</v>
      </c>
      <c r="AP4" s="185" t="s">
        <v>11</v>
      </c>
      <c r="AR4" s="10" t="str">
        <f>AF4</f>
        <v>Montana-Dakota Utilities Co.</v>
      </c>
      <c r="AZ4" s="187"/>
      <c r="BH4" s="338" t="s">
        <v>11</v>
      </c>
      <c r="BI4" s="10" t="str">
        <f>AR4</f>
        <v>Montana-Dakota Utilities Co.</v>
      </c>
      <c r="BW4" s="338" t="s">
        <v>11</v>
      </c>
      <c r="BX4" s="10" t="str">
        <f>BI4</f>
        <v>Montana-Dakota Utilities Co.</v>
      </c>
    </row>
    <row r="5" spans="1:106">
      <c r="A5" s="337" t="s">
        <v>10</v>
      </c>
      <c r="B5" s="9" t="s">
        <v>316</v>
      </c>
      <c r="K5" s="185" t="s">
        <v>10</v>
      </c>
      <c r="M5" s="10" t="str">
        <f>$B$5</f>
        <v>Commercial 95+% AFUE Furnace - New</v>
      </c>
      <c r="N5" s="187"/>
      <c r="R5" s="321"/>
      <c r="AD5" s="185" t="s">
        <v>10</v>
      </c>
      <c r="AF5" s="10" t="str">
        <f>$B$5</f>
        <v>Commercial 95+% AFUE Furnace - New</v>
      </c>
      <c r="AP5" s="185" t="s">
        <v>12</v>
      </c>
      <c r="AR5" s="10" t="str">
        <f>$B$5</f>
        <v>Commercial 95+% AFUE Furnace - New</v>
      </c>
      <c r="AZ5" s="187"/>
      <c r="BH5" s="338" t="s">
        <v>12</v>
      </c>
      <c r="BI5" s="10" t="str">
        <f>$B$5</f>
        <v>Commercial 95+% AFUE Furnace - New</v>
      </c>
      <c r="BW5" s="338" t="s">
        <v>12</v>
      </c>
      <c r="BX5" s="10" t="str">
        <f>$B$5</f>
        <v>Commercial 95+% AFUE Furnace - New</v>
      </c>
    </row>
    <row r="6" spans="1:106">
      <c r="A6" s="337" t="s">
        <v>200</v>
      </c>
      <c r="B6" s="312" t="s">
        <v>346</v>
      </c>
      <c r="N6" s="187"/>
      <c r="R6" s="321"/>
      <c r="AZ6" s="187"/>
      <c r="BG6" s="336"/>
      <c r="BV6" s="336"/>
    </row>
    <row r="7" spans="1:106">
      <c r="M7" s="339"/>
      <c r="N7" s="47" t="s">
        <v>14</v>
      </c>
      <c r="O7" s="48"/>
      <c r="P7" s="48"/>
      <c r="Q7" s="48"/>
      <c r="R7" s="114"/>
      <c r="S7" s="48"/>
      <c r="T7" s="48"/>
      <c r="U7" s="48"/>
      <c r="V7" s="48"/>
      <c r="W7" s="339"/>
      <c r="X7" s="88" t="s">
        <v>15</v>
      </c>
      <c r="Y7" s="88"/>
      <c r="Z7" s="340"/>
      <c r="AA7" s="341"/>
      <c r="AB7" s="167"/>
      <c r="AC7" s="339"/>
      <c r="AD7" s="339"/>
      <c r="AE7" s="339"/>
      <c r="AF7" s="47" t="s">
        <v>14</v>
      </c>
      <c r="AG7" s="342"/>
      <c r="AH7" s="342"/>
      <c r="AI7" s="339"/>
      <c r="AJ7" s="88" t="s">
        <v>15</v>
      </c>
      <c r="AK7" s="88"/>
      <c r="AL7" s="88"/>
      <c r="AM7" s="339"/>
      <c r="AN7" s="343" t="s">
        <v>81</v>
      </c>
      <c r="AO7" s="339"/>
      <c r="AP7" s="339"/>
      <c r="AQ7" s="339"/>
      <c r="AR7" s="47" t="s">
        <v>14</v>
      </c>
      <c r="AS7" s="48"/>
      <c r="AT7" s="48"/>
      <c r="AU7" s="48"/>
      <c r="AV7" s="48"/>
      <c r="AW7" s="48"/>
      <c r="AX7" s="48"/>
      <c r="AY7" s="48"/>
      <c r="AZ7" s="48"/>
      <c r="BA7" s="339"/>
      <c r="BB7" s="88" t="s">
        <v>15</v>
      </c>
      <c r="BC7" s="88"/>
      <c r="BD7" s="89"/>
      <c r="BE7" s="75" t="s">
        <v>81</v>
      </c>
      <c r="BF7" s="339"/>
      <c r="BG7" s="198"/>
      <c r="BH7" s="339"/>
      <c r="BI7" s="47" t="s">
        <v>14</v>
      </c>
      <c r="BJ7" s="344"/>
      <c r="BK7" s="344"/>
      <c r="BL7" s="344"/>
      <c r="BM7" s="344"/>
      <c r="BN7" s="344"/>
      <c r="BO7" s="344"/>
      <c r="BP7" s="344"/>
      <c r="BQ7" s="339"/>
      <c r="BR7" s="126" t="s">
        <v>15</v>
      </c>
      <c r="BS7" s="125" t="s">
        <v>81</v>
      </c>
      <c r="BT7" s="339"/>
      <c r="BU7" s="339"/>
      <c r="BV7" s="198"/>
      <c r="BW7" s="339"/>
      <c r="BX7" s="47" t="s">
        <v>14</v>
      </c>
      <c r="BY7" s="344"/>
      <c r="BZ7" s="344"/>
      <c r="CA7" s="344"/>
      <c r="CB7" s="339"/>
      <c r="CC7" s="88" t="s">
        <v>15</v>
      </c>
      <c r="CD7" s="88"/>
      <c r="CE7" s="88"/>
      <c r="CF7" s="125" t="s">
        <v>81</v>
      </c>
      <c r="CG7" s="339"/>
    </row>
    <row r="8" spans="1:106">
      <c r="A8" s="345" t="s">
        <v>13</v>
      </c>
      <c r="B8" s="345"/>
      <c r="C8" s="346"/>
      <c r="E8" s="345"/>
      <c r="F8" s="184">
        <v>2015</v>
      </c>
      <c r="G8" s="167"/>
      <c r="H8" s="167"/>
      <c r="L8" s="339"/>
      <c r="M8" s="347"/>
      <c r="N8" s="347"/>
      <c r="O8" s="339"/>
      <c r="Q8" s="347"/>
      <c r="R8" s="348"/>
      <c r="S8" s="347"/>
      <c r="T8" s="347"/>
      <c r="U8" s="347"/>
      <c r="V8" s="347"/>
      <c r="W8" s="347"/>
      <c r="X8" s="347"/>
      <c r="Z8" s="347"/>
      <c r="AA8" s="167"/>
      <c r="AB8" s="167" t="s">
        <v>17</v>
      </c>
      <c r="AC8" s="339"/>
      <c r="AD8" s="339"/>
      <c r="AE8" s="339"/>
      <c r="AF8" s="347"/>
      <c r="AG8" s="347"/>
      <c r="AH8" s="347"/>
      <c r="AI8" s="339"/>
      <c r="AL8" s="339"/>
      <c r="AM8" s="347"/>
      <c r="AN8" s="167" t="s">
        <v>17</v>
      </c>
      <c r="AO8" s="339"/>
      <c r="AP8" s="339"/>
      <c r="AQ8" s="339"/>
      <c r="AR8" s="339"/>
      <c r="AS8" s="339"/>
      <c r="AT8" s="167" t="s">
        <v>24</v>
      </c>
      <c r="AU8" s="347"/>
      <c r="AV8" s="336"/>
      <c r="AW8" s="347"/>
      <c r="AX8" s="349"/>
      <c r="AY8" s="350"/>
      <c r="AZ8" s="347"/>
      <c r="BA8" s="347"/>
      <c r="BB8" s="347"/>
      <c r="BC8" s="347"/>
      <c r="BD8" s="347"/>
      <c r="BE8" s="167" t="s">
        <v>17</v>
      </c>
      <c r="BF8" s="339"/>
      <c r="BG8" s="198"/>
      <c r="BH8" s="167"/>
      <c r="BI8" s="167"/>
      <c r="BJ8" s="339"/>
      <c r="BK8" s="339"/>
      <c r="BL8" s="339"/>
      <c r="BN8" s="339"/>
      <c r="BO8" s="339"/>
      <c r="BP8" s="339"/>
      <c r="BQ8" s="339"/>
      <c r="BR8" s="339"/>
      <c r="BS8" s="339"/>
      <c r="BT8" s="167" t="s">
        <v>17</v>
      </c>
      <c r="BU8" s="339"/>
      <c r="BV8" s="198"/>
      <c r="BW8" s="167"/>
      <c r="BX8" s="167"/>
      <c r="BY8" s="339"/>
      <c r="BZ8" s="339"/>
      <c r="CA8" s="339"/>
      <c r="CB8" s="339"/>
      <c r="CC8" s="339"/>
      <c r="CD8" s="339"/>
      <c r="CE8" s="339"/>
      <c r="CF8" s="339"/>
      <c r="CG8" s="167" t="s">
        <v>17</v>
      </c>
      <c r="DA8" s="351"/>
      <c r="DB8" s="351"/>
    </row>
    <row r="9" spans="1:106">
      <c r="A9" s="185"/>
      <c r="E9" s="185"/>
      <c r="G9" s="339"/>
      <c r="H9" s="339"/>
      <c r="L9" s="339"/>
      <c r="M9" s="167" t="s">
        <v>20</v>
      </c>
      <c r="N9" s="167" t="s">
        <v>23</v>
      </c>
      <c r="O9" s="198" t="s">
        <v>23</v>
      </c>
      <c r="P9" s="352" t="s">
        <v>21</v>
      </c>
      <c r="Q9" s="352" t="s">
        <v>21</v>
      </c>
      <c r="R9" s="353" t="s">
        <v>20</v>
      </c>
      <c r="S9" s="354" t="s">
        <v>97</v>
      </c>
      <c r="T9" s="167" t="s">
        <v>31</v>
      </c>
      <c r="U9" s="353" t="s">
        <v>20</v>
      </c>
      <c r="V9" s="167"/>
      <c r="W9" s="354" t="s">
        <v>96</v>
      </c>
      <c r="X9" s="339"/>
      <c r="Y9" s="336" t="s">
        <v>35</v>
      </c>
      <c r="Z9" s="167"/>
      <c r="AA9" s="167" t="s">
        <v>20</v>
      </c>
      <c r="AB9" s="167" t="s">
        <v>14</v>
      </c>
      <c r="AC9" s="339"/>
      <c r="AD9" s="339"/>
      <c r="AE9" s="339"/>
      <c r="AF9" s="354" t="s">
        <v>20</v>
      </c>
      <c r="AG9" s="353" t="s">
        <v>20</v>
      </c>
      <c r="AH9" s="354" t="s">
        <v>17</v>
      </c>
      <c r="AI9" s="339"/>
      <c r="AJ9" s="336" t="s">
        <v>35</v>
      </c>
      <c r="AK9" s="167"/>
      <c r="AL9" s="167" t="s">
        <v>22</v>
      </c>
      <c r="AM9" s="339"/>
      <c r="AN9" s="167" t="s">
        <v>14</v>
      </c>
      <c r="AO9" s="339"/>
      <c r="AP9" s="339"/>
      <c r="AQ9" s="339"/>
      <c r="AR9" s="354" t="s">
        <v>20</v>
      </c>
      <c r="AS9" s="167" t="s">
        <v>20</v>
      </c>
      <c r="AT9" s="167" t="s">
        <v>36</v>
      </c>
      <c r="AU9" s="167" t="s">
        <v>24</v>
      </c>
      <c r="AV9" s="352" t="s">
        <v>37</v>
      </c>
      <c r="AW9" s="352" t="s">
        <v>37</v>
      </c>
      <c r="AX9" s="349"/>
      <c r="AY9" s="355"/>
      <c r="AZ9" s="167" t="s">
        <v>17</v>
      </c>
      <c r="BA9" s="339"/>
      <c r="BB9" s="167" t="s">
        <v>22</v>
      </c>
      <c r="BC9" s="167" t="s">
        <v>39</v>
      </c>
      <c r="BD9" s="198" t="s">
        <v>17</v>
      </c>
      <c r="BE9" s="167" t="s">
        <v>14</v>
      </c>
      <c r="BF9" s="339"/>
      <c r="BG9" s="198"/>
      <c r="BH9" s="167"/>
      <c r="BI9" s="167"/>
      <c r="BJ9" s="167" t="s">
        <v>20</v>
      </c>
      <c r="BK9" s="339"/>
      <c r="BL9" s="167" t="s">
        <v>23</v>
      </c>
      <c r="BM9" s="336" t="s">
        <v>24</v>
      </c>
      <c r="BN9" s="198" t="s">
        <v>24</v>
      </c>
      <c r="BO9" s="198"/>
      <c r="BP9" s="167" t="s">
        <v>20</v>
      </c>
      <c r="BQ9" s="339"/>
      <c r="BR9" s="167" t="s">
        <v>26</v>
      </c>
      <c r="BS9" s="198"/>
      <c r="BT9" s="167" t="s">
        <v>14</v>
      </c>
      <c r="BU9" s="339"/>
      <c r="BV9" s="198"/>
      <c r="BW9" s="167"/>
      <c r="BX9" s="167" t="s">
        <v>20</v>
      </c>
      <c r="BY9" s="167" t="s">
        <v>20</v>
      </c>
      <c r="BZ9" s="167" t="s">
        <v>24</v>
      </c>
      <c r="CA9" s="167" t="s">
        <v>20</v>
      </c>
      <c r="CB9" s="339"/>
      <c r="CC9" s="167" t="s">
        <v>22</v>
      </c>
      <c r="CD9" s="167" t="s">
        <v>39</v>
      </c>
      <c r="CE9" s="167"/>
      <c r="CF9" s="198"/>
      <c r="CG9" s="167" t="s">
        <v>14</v>
      </c>
    </row>
    <row r="10" spans="1:106">
      <c r="A10" s="185" t="s">
        <v>104</v>
      </c>
      <c r="C10" s="356">
        <f>+'Gas Input Table Summary'!$E$7</f>
        <v>5.5299999999999994</v>
      </c>
      <c r="D10" s="357"/>
      <c r="E10" s="185" t="s">
        <v>16</v>
      </c>
      <c r="G10" s="339"/>
      <c r="H10" s="339"/>
      <c r="J10" s="358"/>
      <c r="L10" s="339"/>
      <c r="M10" s="167" t="s">
        <v>28</v>
      </c>
      <c r="N10" s="167" t="s">
        <v>29</v>
      </c>
      <c r="O10" s="198" t="s">
        <v>29</v>
      </c>
      <c r="P10" s="352" t="s">
        <v>30</v>
      </c>
      <c r="Q10" s="352" t="s">
        <v>30</v>
      </c>
      <c r="R10" s="353" t="s">
        <v>36</v>
      </c>
      <c r="S10" s="167" t="s">
        <v>31</v>
      </c>
      <c r="T10" s="167" t="s">
        <v>38</v>
      </c>
      <c r="U10" s="353" t="s">
        <v>31</v>
      </c>
      <c r="V10" s="167" t="s">
        <v>20</v>
      </c>
      <c r="W10" s="167" t="s">
        <v>118</v>
      </c>
      <c r="X10" s="167" t="s">
        <v>92</v>
      </c>
      <c r="Y10" s="336" t="s">
        <v>144</v>
      </c>
      <c r="Z10" s="167" t="s">
        <v>117</v>
      </c>
      <c r="AA10" s="167" t="s">
        <v>35</v>
      </c>
      <c r="AB10" s="167" t="s">
        <v>34</v>
      </c>
      <c r="AC10" s="339"/>
      <c r="AD10" s="339"/>
      <c r="AE10" s="339"/>
      <c r="AF10" s="354" t="s">
        <v>36</v>
      </c>
      <c r="AG10" s="353" t="s">
        <v>31</v>
      </c>
      <c r="AH10" s="354" t="s">
        <v>20</v>
      </c>
      <c r="AI10" s="339"/>
      <c r="AJ10" s="336" t="s">
        <v>144</v>
      </c>
      <c r="AK10" s="167" t="s">
        <v>117</v>
      </c>
      <c r="AL10" s="167" t="s">
        <v>35</v>
      </c>
      <c r="AM10" s="339"/>
      <c r="AN10" s="167" t="s">
        <v>34</v>
      </c>
      <c r="AO10" s="339"/>
      <c r="AP10" s="339"/>
      <c r="AQ10" s="339"/>
      <c r="AR10" s="167" t="s">
        <v>28</v>
      </c>
      <c r="AS10" s="167" t="s">
        <v>131</v>
      </c>
      <c r="AT10" s="167" t="s">
        <v>38</v>
      </c>
      <c r="AU10" s="167" t="s">
        <v>36</v>
      </c>
      <c r="AV10" s="198" t="s">
        <v>99</v>
      </c>
      <c r="AW10" s="359" t="s">
        <v>99</v>
      </c>
      <c r="AX10" s="349"/>
      <c r="AY10" s="360"/>
      <c r="AZ10" s="167" t="s">
        <v>20</v>
      </c>
      <c r="BA10" s="339"/>
      <c r="BB10" s="167" t="s">
        <v>35</v>
      </c>
      <c r="BC10" s="354" t="s">
        <v>100</v>
      </c>
      <c r="BD10" s="198" t="s">
        <v>20</v>
      </c>
      <c r="BE10" s="167" t="s">
        <v>34</v>
      </c>
      <c r="BF10" s="339"/>
      <c r="BG10" s="198"/>
      <c r="BH10" s="167"/>
      <c r="BI10" s="167" t="s">
        <v>25</v>
      </c>
      <c r="BJ10" s="167" t="s">
        <v>28</v>
      </c>
      <c r="BK10" s="167" t="s">
        <v>32</v>
      </c>
      <c r="BL10" s="167" t="s">
        <v>33</v>
      </c>
      <c r="BM10" s="336" t="s">
        <v>136</v>
      </c>
      <c r="BN10" s="167" t="s">
        <v>36</v>
      </c>
      <c r="BO10" s="167"/>
      <c r="BP10" s="167" t="s">
        <v>17</v>
      </c>
      <c r="BQ10" s="339"/>
      <c r="BR10" s="167" t="s">
        <v>112</v>
      </c>
      <c r="BS10" s="167"/>
      <c r="BT10" s="167" t="s">
        <v>34</v>
      </c>
      <c r="BU10" s="339"/>
      <c r="BV10" s="198"/>
      <c r="BW10" s="167"/>
      <c r="BX10" s="167" t="s">
        <v>28</v>
      </c>
      <c r="BY10" s="167" t="s">
        <v>31</v>
      </c>
      <c r="BZ10" s="167" t="s">
        <v>36</v>
      </c>
      <c r="CA10" s="167" t="s">
        <v>17</v>
      </c>
      <c r="CB10" s="339"/>
      <c r="CC10" s="167" t="s">
        <v>35</v>
      </c>
      <c r="CD10" s="354" t="s">
        <v>100</v>
      </c>
      <c r="CE10" s="167" t="s">
        <v>20</v>
      </c>
      <c r="CF10" s="167"/>
      <c r="CG10" s="167" t="s">
        <v>34</v>
      </c>
    </row>
    <row r="11" spans="1:106">
      <c r="A11" s="185" t="s">
        <v>18</v>
      </c>
      <c r="C11" s="361">
        <f>+'Gas Input Table Summary'!$E$8</f>
        <v>3.5000000000000003E-2</v>
      </c>
      <c r="E11" s="185" t="s">
        <v>19</v>
      </c>
      <c r="F11" s="195">
        <f>+'Total Program Inputs'!K17</f>
        <v>0</v>
      </c>
      <c r="G11" s="538"/>
      <c r="H11" s="538"/>
      <c r="J11" s="337" t="s">
        <v>42</v>
      </c>
      <c r="L11" s="339"/>
      <c r="M11" s="167" t="s">
        <v>44</v>
      </c>
      <c r="N11" s="198" t="s">
        <v>107</v>
      </c>
      <c r="O11" s="198" t="s">
        <v>38</v>
      </c>
      <c r="P11" s="352" t="s">
        <v>107</v>
      </c>
      <c r="Q11" s="352" t="s">
        <v>38</v>
      </c>
      <c r="R11" s="353" t="s">
        <v>38</v>
      </c>
      <c r="S11" s="167" t="s">
        <v>44</v>
      </c>
      <c r="T11" s="198" t="s">
        <v>95</v>
      </c>
      <c r="U11" s="353" t="s">
        <v>38</v>
      </c>
      <c r="V11" s="167" t="s">
        <v>38</v>
      </c>
      <c r="W11" s="167" t="s">
        <v>119</v>
      </c>
      <c r="X11" s="167" t="s">
        <v>93</v>
      </c>
      <c r="Y11" s="336" t="s">
        <v>15</v>
      </c>
      <c r="Z11" s="167" t="s">
        <v>15</v>
      </c>
      <c r="AA11" s="167" t="s">
        <v>15</v>
      </c>
      <c r="AB11" s="167" t="s">
        <v>15</v>
      </c>
      <c r="AC11" s="339"/>
      <c r="AD11" s="339"/>
      <c r="AF11" s="167" t="s">
        <v>38</v>
      </c>
      <c r="AG11" s="353" t="s">
        <v>38</v>
      </c>
      <c r="AH11" s="353" t="s">
        <v>38</v>
      </c>
      <c r="AI11" s="339"/>
      <c r="AJ11" s="336" t="s">
        <v>15</v>
      </c>
      <c r="AK11" s="167" t="s">
        <v>15</v>
      </c>
      <c r="AL11" s="167" t="s">
        <v>15</v>
      </c>
      <c r="AM11" s="339"/>
      <c r="AN11" s="167" t="s">
        <v>15</v>
      </c>
      <c r="AO11" s="339"/>
      <c r="AP11" s="339"/>
      <c r="AR11" s="167" t="s">
        <v>38</v>
      </c>
      <c r="AS11" s="167" t="s">
        <v>38</v>
      </c>
      <c r="AT11" s="336" t="s">
        <v>133</v>
      </c>
      <c r="AU11" s="167" t="s">
        <v>38</v>
      </c>
      <c r="AV11" s="362" t="s">
        <v>132</v>
      </c>
      <c r="AW11" s="362" t="s">
        <v>38</v>
      </c>
      <c r="AX11" s="349"/>
      <c r="AY11" s="360"/>
      <c r="AZ11" s="354" t="s">
        <v>38</v>
      </c>
      <c r="BA11" s="339"/>
      <c r="BB11" s="167" t="s">
        <v>15</v>
      </c>
      <c r="BC11" s="363" t="s">
        <v>101</v>
      </c>
      <c r="BD11" s="359" t="s">
        <v>15</v>
      </c>
      <c r="BE11" s="167" t="s">
        <v>15</v>
      </c>
      <c r="BF11" s="339"/>
      <c r="BH11" s="167"/>
      <c r="BI11" s="167" t="s">
        <v>46</v>
      </c>
      <c r="BJ11" s="167" t="s">
        <v>44</v>
      </c>
      <c r="BK11" s="167" t="s">
        <v>45</v>
      </c>
      <c r="BL11" s="167" t="s">
        <v>38</v>
      </c>
      <c r="BM11" s="336" t="s">
        <v>0</v>
      </c>
      <c r="BN11" s="167" t="s">
        <v>38</v>
      </c>
      <c r="BO11" s="167"/>
      <c r="BP11" s="167" t="s">
        <v>14</v>
      </c>
      <c r="BQ11" s="339"/>
      <c r="BR11" s="167" t="s">
        <v>15</v>
      </c>
      <c r="BS11" s="167"/>
      <c r="BT11" s="167" t="s">
        <v>15</v>
      </c>
      <c r="BU11" s="339"/>
      <c r="BW11" s="167"/>
      <c r="BX11" s="167" t="s">
        <v>38</v>
      </c>
      <c r="BY11" s="167" t="s">
        <v>38</v>
      </c>
      <c r="BZ11" s="167" t="s">
        <v>38</v>
      </c>
      <c r="CA11" s="167" t="s">
        <v>14</v>
      </c>
      <c r="CB11" s="339"/>
      <c r="CC11" s="167" t="s">
        <v>15</v>
      </c>
      <c r="CD11" s="363" t="s">
        <v>101</v>
      </c>
      <c r="CE11" s="167" t="s">
        <v>15</v>
      </c>
      <c r="CF11" s="167"/>
      <c r="CG11" s="167" t="s">
        <v>15</v>
      </c>
    </row>
    <row r="12" spans="1:106">
      <c r="A12" s="185"/>
      <c r="C12" s="361"/>
      <c r="E12" s="185" t="s">
        <v>27</v>
      </c>
      <c r="F12" s="320">
        <f>+'Total Program Inputs'!G17</f>
        <v>0</v>
      </c>
      <c r="G12" s="540"/>
      <c r="H12" s="540"/>
      <c r="J12" s="333"/>
      <c r="L12" s="184" t="s">
        <v>43</v>
      </c>
      <c r="M12" s="170" t="s">
        <v>48</v>
      </c>
      <c r="N12" s="170" t="s">
        <v>49</v>
      </c>
      <c r="O12" s="170" t="s">
        <v>50</v>
      </c>
      <c r="P12" s="170" t="s">
        <v>51</v>
      </c>
      <c r="Q12" s="170" t="s">
        <v>52</v>
      </c>
      <c r="R12" s="170" t="s">
        <v>53</v>
      </c>
      <c r="S12" s="170" t="s">
        <v>54</v>
      </c>
      <c r="T12" s="170" t="s">
        <v>55</v>
      </c>
      <c r="U12" s="170" t="s">
        <v>56</v>
      </c>
      <c r="V12" s="170" t="s">
        <v>57</v>
      </c>
      <c r="W12" s="170" t="s">
        <v>58</v>
      </c>
      <c r="X12" s="170" t="s">
        <v>59</v>
      </c>
      <c r="Y12" s="170" t="s">
        <v>60</v>
      </c>
      <c r="Z12" s="170" t="s">
        <v>61</v>
      </c>
      <c r="AA12" s="170" t="s">
        <v>137</v>
      </c>
      <c r="AB12" s="170" t="s">
        <v>145</v>
      </c>
      <c r="AE12" s="184" t="s">
        <v>43</v>
      </c>
      <c r="AF12" s="170" t="s">
        <v>48</v>
      </c>
      <c r="AG12" s="170" t="s">
        <v>49</v>
      </c>
      <c r="AH12" s="170" t="s">
        <v>50</v>
      </c>
      <c r="AJ12" s="170" t="s">
        <v>51</v>
      </c>
      <c r="AK12" s="170" t="s">
        <v>52</v>
      </c>
      <c r="AL12" s="170" t="s">
        <v>53</v>
      </c>
      <c r="AN12" s="170" t="s">
        <v>54</v>
      </c>
      <c r="AQ12" s="184" t="s">
        <v>43</v>
      </c>
      <c r="AR12" s="170" t="s">
        <v>48</v>
      </c>
      <c r="AS12" s="170" t="s">
        <v>49</v>
      </c>
      <c r="AT12" s="170" t="s">
        <v>50</v>
      </c>
      <c r="AU12" s="170" t="s">
        <v>51</v>
      </c>
      <c r="AV12" s="170" t="s">
        <v>52</v>
      </c>
      <c r="AW12" s="170" t="s">
        <v>53</v>
      </c>
      <c r="AX12" s="364"/>
      <c r="AY12" s="364"/>
      <c r="AZ12" s="170" t="s">
        <v>54</v>
      </c>
      <c r="BA12" s="339"/>
      <c r="BB12" s="170" t="s">
        <v>55</v>
      </c>
      <c r="BC12" s="170" t="s">
        <v>56</v>
      </c>
      <c r="BD12" s="170" t="s">
        <v>57</v>
      </c>
      <c r="BE12" s="170" t="s">
        <v>58</v>
      </c>
      <c r="BH12" s="184" t="s">
        <v>43</v>
      </c>
      <c r="BI12" s="170" t="s">
        <v>48</v>
      </c>
      <c r="BJ12" s="170" t="s">
        <v>49</v>
      </c>
      <c r="BK12" s="170" t="s">
        <v>50</v>
      </c>
      <c r="BL12" s="170" t="s">
        <v>51</v>
      </c>
      <c r="BM12" s="170" t="s">
        <v>52</v>
      </c>
      <c r="BN12" s="170" t="s">
        <v>53</v>
      </c>
      <c r="BO12" s="170"/>
      <c r="BP12" s="170" t="s">
        <v>54</v>
      </c>
      <c r="BR12" s="170" t="s">
        <v>55</v>
      </c>
      <c r="BS12" s="198"/>
      <c r="BT12" s="170" t="s">
        <v>56</v>
      </c>
      <c r="BW12" s="184" t="s">
        <v>43</v>
      </c>
      <c r="BX12" s="170" t="s">
        <v>48</v>
      </c>
      <c r="BY12" s="170" t="s">
        <v>49</v>
      </c>
      <c r="BZ12" s="170" t="s">
        <v>50</v>
      </c>
      <c r="CA12" s="170" t="s">
        <v>51</v>
      </c>
      <c r="CC12" s="170" t="s">
        <v>52</v>
      </c>
      <c r="CD12" s="170" t="s">
        <v>53</v>
      </c>
      <c r="CE12" s="170" t="s">
        <v>54</v>
      </c>
      <c r="CF12" s="198"/>
      <c r="CG12" s="170" t="s">
        <v>55</v>
      </c>
    </row>
    <row r="13" spans="1:106">
      <c r="A13" s="185" t="s">
        <v>40</v>
      </c>
      <c r="C13" s="365">
        <f>+'Gas Input Table Summary'!$E$9</f>
        <v>0.13500000000000001</v>
      </c>
      <c r="E13" s="185" t="s">
        <v>41</v>
      </c>
      <c r="F13" s="357">
        <f>SUM(F11:F12)</f>
        <v>0</v>
      </c>
      <c r="G13" s="357"/>
      <c r="H13" s="357"/>
      <c r="J13" s="366"/>
      <c r="L13" s="366"/>
      <c r="M13" s="366"/>
      <c r="N13" s="366"/>
      <c r="Q13" s="366"/>
      <c r="R13" s="321"/>
      <c r="S13" s="366"/>
      <c r="T13" s="366"/>
      <c r="V13" s="167"/>
      <c r="W13" s="366"/>
      <c r="X13" s="366"/>
      <c r="Z13" s="366"/>
      <c r="AA13" s="366"/>
      <c r="AB13" s="366"/>
      <c r="AE13" s="366"/>
      <c r="AF13" s="366"/>
      <c r="AH13" s="366"/>
      <c r="AL13" s="366"/>
      <c r="AN13" s="366"/>
      <c r="AQ13" s="366"/>
      <c r="AR13" s="366"/>
      <c r="AS13" s="366"/>
      <c r="AU13" s="366"/>
      <c r="AW13" s="334"/>
      <c r="AX13" s="274"/>
      <c r="AY13" s="367"/>
      <c r="AZ13" s="366"/>
      <c r="BB13" s="366"/>
      <c r="BC13" s="366"/>
      <c r="BD13" s="366"/>
      <c r="BE13" s="366"/>
      <c r="BH13" s="366"/>
      <c r="BI13" s="366"/>
      <c r="BJ13" s="366"/>
      <c r="BK13" s="366"/>
      <c r="BL13" s="366"/>
      <c r="BN13" s="366"/>
      <c r="BO13" s="366"/>
      <c r="BP13" s="366"/>
      <c r="BR13" s="366"/>
      <c r="BS13" s="366"/>
      <c r="BT13" s="366"/>
      <c r="BW13" s="366"/>
      <c r="BX13" s="366"/>
      <c r="BY13" s="366"/>
      <c r="BZ13" s="366"/>
      <c r="CA13" s="366"/>
      <c r="CC13" s="366"/>
      <c r="CD13" s="366"/>
      <c r="CE13" s="366"/>
      <c r="CF13" s="366"/>
      <c r="CG13" s="366"/>
    </row>
    <row r="14" spans="1:106">
      <c r="A14" s="185" t="s">
        <v>47</v>
      </c>
      <c r="C14" s="361">
        <f>+'Gas Input Table Summary'!$E$10</f>
        <v>3.5000000000000003E-2</v>
      </c>
      <c r="F14" s="368"/>
      <c r="G14" s="368"/>
      <c r="H14" s="368"/>
      <c r="J14" s="333">
        <f>$C$47-$C$45</f>
        <v>1</v>
      </c>
      <c r="L14" s="366">
        <f>$C$47</f>
        <v>2015</v>
      </c>
      <c r="M14" s="369">
        <f>ROUND(IF($C$47+$F$23&gt;L14,F25*F30,0),0)</f>
        <v>0</v>
      </c>
      <c r="N14" s="370">
        <f>ROUND($C$17*(1),3)</f>
        <v>2.577</v>
      </c>
      <c r="O14" s="357">
        <f t="shared" ref="O14:O34" si="0">ROUND(M14*N14,0)</f>
        <v>0</v>
      </c>
      <c r="P14" s="370">
        <f t="shared" ref="P14:P34" si="1">ROUND($C$25*(1+$C$26)^J14,3)</f>
        <v>0</v>
      </c>
      <c r="Q14" s="357">
        <f>ROUND(M14*P14,0)</f>
        <v>0</v>
      </c>
      <c r="R14" s="371">
        <f t="shared" ref="R14:R34" si="2">O14+Q14</f>
        <v>0</v>
      </c>
      <c r="S14" s="372">
        <f t="shared" ref="S14:S34" si="3">ROUND(M14*$C$23,1)</f>
        <v>0</v>
      </c>
      <c r="T14" s="357">
        <f>ROUND($C$20*(1),0)</f>
        <v>142</v>
      </c>
      <c r="U14" s="373">
        <f>ROUND(S14*T14,0)</f>
        <v>0</v>
      </c>
      <c r="V14" s="374">
        <f>ROUND(+U14+R14,0)</f>
        <v>0</v>
      </c>
      <c r="W14" s="375">
        <f t="shared" ref="W14:W34" si="4">ROUND($H$36*(1+$C$11)^J14,3)</f>
        <v>1.3480000000000001</v>
      </c>
      <c r="X14" s="376">
        <f t="shared" ref="X14:X34" si="5">ROUND((1-$H$38)*(W14*M14),0)</f>
        <v>0</v>
      </c>
      <c r="Y14" s="377">
        <f>ROUND($F$11,0)</f>
        <v>0</v>
      </c>
      <c r="Z14" s="377">
        <f>ROUND($F$12,0)</f>
        <v>0</v>
      </c>
      <c r="AA14" s="377">
        <f t="shared" ref="AA14:AA34" si="6">SUM(X14:Z14)</f>
        <v>0</v>
      </c>
      <c r="AB14" s="357">
        <f t="shared" ref="AB14:AB34" si="7">V14-AA14</f>
        <v>0</v>
      </c>
      <c r="AE14" s="366">
        <f>$C$47</f>
        <v>2015</v>
      </c>
      <c r="AF14" s="357">
        <f t="shared" ref="AF14:AF34" si="8">+R14</f>
        <v>0</v>
      </c>
      <c r="AG14" s="378">
        <f t="shared" ref="AG14:AG34" si="9">+U14</f>
        <v>0</v>
      </c>
      <c r="AH14" s="377">
        <f>+AG14+AF14</f>
        <v>0</v>
      </c>
      <c r="AJ14" s="378">
        <f>ROUND(Y14,0)</f>
        <v>0</v>
      </c>
      <c r="AK14" s="378">
        <f>ROUND(Z14,0)</f>
        <v>0</v>
      </c>
      <c r="AL14" s="357">
        <f t="shared" ref="AL14:AL34" si="10">SUM(AJ14:AK14)</f>
        <v>0</v>
      </c>
      <c r="AN14" s="357">
        <f t="shared" ref="AN14:AN34" si="11">+AH14-AL14</f>
        <v>0</v>
      </c>
      <c r="AQ14" s="366">
        <f>$C$47</f>
        <v>2015</v>
      </c>
      <c r="AR14" s="357">
        <f t="shared" ref="AR14:AR34" si="12">AF14</f>
        <v>0</v>
      </c>
      <c r="AS14" s="357">
        <f t="shared" ref="AS14:AS34" si="13">+AG14</f>
        <v>0</v>
      </c>
      <c r="AT14" s="379">
        <f t="shared" ref="AT14:AT34" si="14">ROUND(($C$28/(1-$C$31))*(1+$C$29)^J14,3)</f>
        <v>2.4E-2</v>
      </c>
      <c r="AU14" s="380">
        <f>ROUND(IF($C$47+$F$23&gt;$AQ14,$F$30*$F$27,0)*AT14,0)</f>
        <v>0</v>
      </c>
      <c r="AV14" s="370">
        <f t="shared" ref="AV14:AV34" si="15">ROUND($C$33*(1+$C$34)^J14,3)</f>
        <v>0.35799999999999998</v>
      </c>
      <c r="AW14" s="357">
        <f t="shared" ref="AW14:AW34" si="16">ROUND(AV14*M14,0)</f>
        <v>0</v>
      </c>
      <c r="AX14" s="379"/>
      <c r="AY14" s="380"/>
      <c r="AZ14" s="357">
        <f>ROUND(AR14+AS14+AU14+AW14+AY14,0)</f>
        <v>0</v>
      </c>
      <c r="BA14" s="381"/>
      <c r="BB14" s="377">
        <f>ROUND($F$13,0)</f>
        <v>0</v>
      </c>
      <c r="BC14" s="377">
        <f>ROUND((F15*F30)-Z14,0)</f>
        <v>0</v>
      </c>
      <c r="BD14" s="382">
        <f>BB14+BC14</f>
        <v>0</v>
      </c>
      <c r="BE14" s="377">
        <f t="shared" ref="BE14:BE34" si="17">AZ14-BD14</f>
        <v>0</v>
      </c>
      <c r="BH14" s="366">
        <f>$C$47</f>
        <v>2015</v>
      </c>
      <c r="BI14" s="357">
        <f>+F12</f>
        <v>0</v>
      </c>
      <c r="BJ14" s="369">
        <f t="shared" ref="BJ14:BJ34" si="18">+M14</f>
        <v>0</v>
      </c>
      <c r="BK14" s="383">
        <f t="shared" ref="BK14:BK34" si="19">ROUND($C$10*(1+$C$11)^J14,3)</f>
        <v>5.7240000000000002</v>
      </c>
      <c r="BL14" s="357">
        <f>ROUND(BJ14*BK14,0)</f>
        <v>0</v>
      </c>
      <c r="BM14" s="383">
        <f t="shared" ref="BM14:BM34" si="20">ROUND($C$13*(1+$C$14)^J14,3)</f>
        <v>0.14000000000000001</v>
      </c>
      <c r="BN14" s="380">
        <f>ROUND(IF($C$47+$F$23&gt;$BH14,$F$30*$F$27,0)*BM14,0)</f>
        <v>0</v>
      </c>
      <c r="BO14" s="380"/>
      <c r="BP14" s="357">
        <f t="shared" ref="BP14:BP34" si="21">BI14+BL14+BN14+BO14</f>
        <v>0</v>
      </c>
      <c r="BR14" s="357">
        <f>ROUND(F15*F30,0)</f>
        <v>0</v>
      </c>
      <c r="BS14" s="357"/>
      <c r="BT14" s="357">
        <f>BP14-BR14</f>
        <v>0</v>
      </c>
      <c r="BW14" s="366">
        <f>$C$47</f>
        <v>2015</v>
      </c>
      <c r="BX14" s="357">
        <f t="shared" ref="BX14:BX34" si="22">$R14</f>
        <v>0</v>
      </c>
      <c r="BY14" s="357">
        <f>U14</f>
        <v>0</v>
      </c>
      <c r="BZ14" s="384">
        <f>AU14</f>
        <v>0</v>
      </c>
      <c r="CA14" s="357">
        <f>SUM(BX14:BZ14)</f>
        <v>0</v>
      </c>
      <c r="CC14" s="357">
        <f>BB14</f>
        <v>0</v>
      </c>
      <c r="CD14" s="357">
        <f>BC14</f>
        <v>0</v>
      </c>
      <c r="CE14" s="357">
        <f>SUM(CC14:CD14)</f>
        <v>0</v>
      </c>
      <c r="CF14" s="357"/>
      <c r="CG14" s="357">
        <f>CA14-CE14</f>
        <v>0</v>
      </c>
    </row>
    <row r="15" spans="1:106">
      <c r="A15" s="185" t="s">
        <v>62</v>
      </c>
      <c r="C15" s="188" t="str">
        <f>+'Gas Input Table Summary'!$E$11</f>
        <v>Kwh</v>
      </c>
      <c r="E15" s="185" t="s">
        <v>63</v>
      </c>
      <c r="F15" s="385">
        <f>ROUND('Database Inputs'!K16,0)</f>
        <v>302</v>
      </c>
      <c r="G15" s="385"/>
      <c r="H15" s="385"/>
      <c r="J15" s="333">
        <f t="shared" ref="J15:J34" si="23">J14+1</f>
        <v>2</v>
      </c>
      <c r="L15" s="366">
        <f t="shared" ref="L15:L34" si="24">L14+1</f>
        <v>2016</v>
      </c>
      <c r="M15" s="386">
        <f>ROUND(IF($C$47+$F$23&gt;L15,$F$25*$F$30,0)+IF($C$48+$G$23&gt;L15,$G$25*$G$30,0),0)</f>
        <v>0</v>
      </c>
      <c r="N15" s="387">
        <f>ROUND($C$17*(1+$C$18)^J14,3)</f>
        <v>2.6669999999999998</v>
      </c>
      <c r="O15" s="388">
        <f t="shared" si="0"/>
        <v>0</v>
      </c>
      <c r="P15" s="387">
        <f t="shared" si="1"/>
        <v>0</v>
      </c>
      <c r="Q15" s="389">
        <f t="shared" ref="Q15:Q34" si="25">ROUND(M15*P15,0)</f>
        <v>0</v>
      </c>
      <c r="R15" s="390">
        <f t="shared" si="2"/>
        <v>0</v>
      </c>
      <c r="S15" s="372">
        <f t="shared" si="3"/>
        <v>0</v>
      </c>
      <c r="T15" s="389">
        <f>ROUND($C$20*(1+$C$21)^J14,0)</f>
        <v>144</v>
      </c>
      <c r="U15" s="391">
        <f>ROUND(S15*T15,0)</f>
        <v>0</v>
      </c>
      <c r="V15" s="386">
        <f t="shared" ref="V15:V34" si="26">ROUND(+U15+R15,0)</f>
        <v>0</v>
      </c>
      <c r="W15" s="392">
        <f t="shared" si="4"/>
        <v>1.395</v>
      </c>
      <c r="X15" s="393">
        <f t="shared" si="5"/>
        <v>0</v>
      </c>
      <c r="Y15" s="393">
        <f>ROUND($G$11,0)</f>
        <v>0</v>
      </c>
      <c r="Z15" s="393">
        <f>ROUND($G$12,0)</f>
        <v>0</v>
      </c>
      <c r="AA15" s="389">
        <f t="shared" si="6"/>
        <v>0</v>
      </c>
      <c r="AB15" s="393">
        <f t="shared" si="7"/>
        <v>0</v>
      </c>
      <c r="AE15" s="366">
        <f t="shared" ref="AE15:AE34" si="27">AE14+1</f>
        <v>2016</v>
      </c>
      <c r="AF15" s="393">
        <f t="shared" si="8"/>
        <v>0</v>
      </c>
      <c r="AG15" s="368">
        <f t="shared" si="9"/>
        <v>0</v>
      </c>
      <c r="AH15" s="393">
        <f>+AG15+AF15</f>
        <v>0</v>
      </c>
      <c r="AJ15" s="394">
        <f t="shared" ref="AJ15:AK34" si="28">ROUND(Y15,0)</f>
        <v>0</v>
      </c>
      <c r="AK15" s="394">
        <f t="shared" si="28"/>
        <v>0</v>
      </c>
      <c r="AL15" s="395">
        <f t="shared" si="10"/>
        <v>0</v>
      </c>
      <c r="AN15" s="396">
        <f t="shared" si="11"/>
        <v>0</v>
      </c>
      <c r="AQ15" s="366">
        <f t="shared" ref="AQ15:AQ34" si="29">AQ14+1</f>
        <v>2016</v>
      </c>
      <c r="AR15" s="393">
        <f t="shared" si="12"/>
        <v>0</v>
      </c>
      <c r="AS15" s="393">
        <f t="shared" si="13"/>
        <v>0</v>
      </c>
      <c r="AT15" s="397">
        <f t="shared" si="14"/>
        <v>2.5000000000000001E-2</v>
      </c>
      <c r="AU15" s="398">
        <f>ROUND((IF($C$47+$F$23&gt;$AQ15,$F$27*$F$30,0)+IF($C$48+$G$23&gt;AQ15,$G$27*$G$30,0))*AT15,0)</f>
        <v>0</v>
      </c>
      <c r="AV15" s="387">
        <f t="shared" si="15"/>
        <v>0.36599999999999999</v>
      </c>
      <c r="AW15" s="393">
        <f t="shared" si="16"/>
        <v>0</v>
      </c>
      <c r="AX15" s="397"/>
      <c r="AY15" s="399"/>
      <c r="AZ15" s="393">
        <f t="shared" ref="AZ15:AZ34" si="30">ROUND(AR15+AS15+AU15+AW15+AY15,0)</f>
        <v>0</v>
      </c>
      <c r="BA15" s="381"/>
      <c r="BB15" s="393">
        <f>ROUND($G$13,0)</f>
        <v>0</v>
      </c>
      <c r="BC15" s="393">
        <f>ROUND(($G$15*$G$30)-$Z$15,0)</f>
        <v>0</v>
      </c>
      <c r="BD15" s="400">
        <f t="shared" ref="BD15:BD34" si="31">BB15+BC15</f>
        <v>0</v>
      </c>
      <c r="BE15" s="393">
        <f t="shared" si="17"/>
        <v>0</v>
      </c>
      <c r="BH15" s="366">
        <f t="shared" ref="BH15:BH34" si="32">BH14+1</f>
        <v>2016</v>
      </c>
      <c r="BI15" s="393">
        <f>+G12</f>
        <v>0</v>
      </c>
      <c r="BJ15" s="369">
        <f t="shared" si="18"/>
        <v>0</v>
      </c>
      <c r="BK15" s="401">
        <f t="shared" si="19"/>
        <v>5.9240000000000004</v>
      </c>
      <c r="BL15" s="393">
        <f>ROUND(BJ15*BK15,0)</f>
        <v>0</v>
      </c>
      <c r="BM15" s="401">
        <f t="shared" si="20"/>
        <v>0.14499999999999999</v>
      </c>
      <c r="BN15" s="398">
        <f>ROUND((IF($C$47+$F$23&gt;BH15,$F$27*$F$30,0)+IF($C$48+$G$23&gt;BH15,$G$27*$G$30,0))*BM15,0)</f>
        <v>0</v>
      </c>
      <c r="BO15" s="402"/>
      <c r="BP15" s="393">
        <f t="shared" si="21"/>
        <v>0</v>
      </c>
      <c r="BR15" s="393">
        <f>ROUND($G$15*$G$30,0)</f>
        <v>0</v>
      </c>
      <c r="BS15" s="393"/>
      <c r="BT15" s="393">
        <f t="shared" ref="BT15:BT34" si="33">BP15-BR15</f>
        <v>0</v>
      </c>
      <c r="BW15" s="366">
        <f t="shared" ref="BW15:BW34" si="34">BW14+1</f>
        <v>2016</v>
      </c>
      <c r="BX15" s="393">
        <f t="shared" si="22"/>
        <v>0</v>
      </c>
      <c r="BY15" s="369">
        <f t="shared" ref="BY15:BY34" si="35">U15</f>
        <v>0</v>
      </c>
      <c r="BZ15" s="403">
        <f t="shared" ref="BZ15:BZ34" si="36">AU15</f>
        <v>0</v>
      </c>
      <c r="CA15" s="393">
        <f t="shared" ref="CA15:CA34" si="37">SUM(BX15:BZ15)</f>
        <v>0</v>
      </c>
      <c r="CC15" s="393">
        <f t="shared" ref="CC15:CD34" si="38">BB15</f>
        <v>0</v>
      </c>
      <c r="CD15" s="393">
        <f t="shared" si="38"/>
        <v>0</v>
      </c>
      <c r="CE15" s="393">
        <f t="shared" ref="CE15:CE34" si="39">SUM(CC15:CD15)</f>
        <v>0</v>
      </c>
      <c r="CF15" s="393"/>
      <c r="CG15" s="393">
        <f>CA15-CE15</f>
        <v>0</v>
      </c>
    </row>
    <row r="16" spans="1:106">
      <c r="F16" s="369"/>
      <c r="G16" s="369"/>
      <c r="H16" s="369"/>
      <c r="J16" s="333">
        <f t="shared" si="23"/>
        <v>3</v>
      </c>
      <c r="L16" s="366">
        <f t="shared" si="24"/>
        <v>2017</v>
      </c>
      <c r="M16" s="386">
        <f>ROUND(IF($C$47+$F$23&gt;L16,$F$25*$F$30,0)+IF($C$48+$G$23&gt;L16,$G$25*$G$30,0)+IF($C$49+$H$23&gt;L16,$H$25*$H$30,0),0)</f>
        <v>0</v>
      </c>
      <c r="N16" s="387">
        <f t="shared" ref="N16:N34" si="40">ROUND($C$17*(1+$C$18)^J15,3)</f>
        <v>2.7610000000000001</v>
      </c>
      <c r="O16" s="388">
        <f t="shared" si="0"/>
        <v>0</v>
      </c>
      <c r="P16" s="387">
        <f t="shared" si="1"/>
        <v>0</v>
      </c>
      <c r="Q16" s="389">
        <f t="shared" si="25"/>
        <v>0</v>
      </c>
      <c r="R16" s="390">
        <f t="shared" si="2"/>
        <v>0</v>
      </c>
      <c r="S16" s="372">
        <f t="shared" si="3"/>
        <v>0</v>
      </c>
      <c r="T16" s="389">
        <f t="shared" ref="T16:T34" si="41">ROUND($C$20*(1+$C$21)^J15,0)</f>
        <v>145</v>
      </c>
      <c r="U16" s="391">
        <f t="shared" ref="U16:U34" si="42">ROUND(S16*T16,0)</f>
        <v>0</v>
      </c>
      <c r="V16" s="386">
        <f t="shared" si="26"/>
        <v>0</v>
      </c>
      <c r="W16" s="392">
        <f t="shared" si="4"/>
        <v>1.444</v>
      </c>
      <c r="X16" s="393">
        <f t="shared" si="5"/>
        <v>0</v>
      </c>
      <c r="Y16" s="393">
        <f>ROUND($H$11,0)</f>
        <v>0</v>
      </c>
      <c r="Z16" s="393">
        <f>ROUND($H$12,0)</f>
        <v>0</v>
      </c>
      <c r="AA16" s="389">
        <f t="shared" si="6"/>
        <v>0</v>
      </c>
      <c r="AB16" s="393">
        <f t="shared" si="7"/>
        <v>0</v>
      </c>
      <c r="AE16" s="366">
        <f t="shared" si="27"/>
        <v>2017</v>
      </c>
      <c r="AF16" s="393">
        <f t="shared" si="8"/>
        <v>0</v>
      </c>
      <c r="AG16" s="368">
        <f t="shared" si="9"/>
        <v>0</v>
      </c>
      <c r="AH16" s="393">
        <f t="shared" ref="AH16:AH34" si="43">+AG16+AF16</f>
        <v>0</v>
      </c>
      <c r="AJ16" s="394">
        <f t="shared" si="28"/>
        <v>0</v>
      </c>
      <c r="AK16" s="394">
        <f t="shared" si="28"/>
        <v>0</v>
      </c>
      <c r="AL16" s="395">
        <f t="shared" si="10"/>
        <v>0</v>
      </c>
      <c r="AN16" s="396">
        <f t="shared" si="11"/>
        <v>0</v>
      </c>
      <c r="AQ16" s="366">
        <f t="shared" si="29"/>
        <v>2017</v>
      </c>
      <c r="AR16" s="393">
        <f t="shared" si="12"/>
        <v>0</v>
      </c>
      <c r="AS16" s="393">
        <f t="shared" si="13"/>
        <v>0</v>
      </c>
      <c r="AT16" s="397">
        <f t="shared" si="14"/>
        <v>2.5000000000000001E-2</v>
      </c>
      <c r="AU16" s="398">
        <f>ROUND((IF($C$47+$F$23&gt;$AQ16,$F$27*$F$30,0)+IF($C$48+$G$23&gt;AQ16,$G$27*$G$30,0)+IF($C$49+$H$23&gt;AQ16,$H$27*$H$30,0))*AT16,0)</f>
        <v>0</v>
      </c>
      <c r="AV16" s="387">
        <f t="shared" si="15"/>
        <v>0.375</v>
      </c>
      <c r="AW16" s="393">
        <f t="shared" si="16"/>
        <v>0</v>
      </c>
      <c r="AX16" s="397"/>
      <c r="AY16" s="399"/>
      <c r="AZ16" s="393">
        <f t="shared" si="30"/>
        <v>0</v>
      </c>
      <c r="BA16" s="381"/>
      <c r="BB16" s="393">
        <f>ROUND($H$13,0)</f>
        <v>0</v>
      </c>
      <c r="BC16" s="393">
        <f>ROUND(($H$15*$H$30)-$Z$16,0)</f>
        <v>0</v>
      </c>
      <c r="BD16" s="400">
        <f t="shared" si="31"/>
        <v>0</v>
      </c>
      <c r="BE16" s="393">
        <f t="shared" si="17"/>
        <v>0</v>
      </c>
      <c r="BH16" s="366">
        <f t="shared" si="32"/>
        <v>2017</v>
      </c>
      <c r="BI16" s="393">
        <f>ROUND(H12,0)</f>
        <v>0</v>
      </c>
      <c r="BJ16" s="369">
        <f t="shared" si="18"/>
        <v>0</v>
      </c>
      <c r="BK16" s="401">
        <f t="shared" si="19"/>
        <v>6.1310000000000002</v>
      </c>
      <c r="BL16" s="393">
        <f t="shared" ref="BL16:BL34" si="44">ROUND(BJ16*BK16,0)</f>
        <v>0</v>
      </c>
      <c r="BM16" s="401">
        <f t="shared" si="20"/>
        <v>0.15</v>
      </c>
      <c r="BN16" s="398">
        <f>ROUND((IF($C$47+$F$23&gt;BH16,$F$27*$F$30,0)+IF($C$49+$H$23&gt;BH16,$H$27*$H$30,0)+IF($C$48+$G$23&gt;BH16,$G$27*$G$30,0))*BM16,0)</f>
        <v>0</v>
      </c>
      <c r="BO16" s="402"/>
      <c r="BP16" s="393">
        <f t="shared" si="21"/>
        <v>0</v>
      </c>
      <c r="BR16" s="393">
        <f>ROUND($H$15*$H$30,0)</f>
        <v>0</v>
      </c>
      <c r="BS16" s="393"/>
      <c r="BT16" s="393">
        <f t="shared" si="33"/>
        <v>0</v>
      </c>
      <c r="BW16" s="366">
        <f t="shared" si="34"/>
        <v>2017</v>
      </c>
      <c r="BX16" s="393">
        <f t="shared" si="22"/>
        <v>0</v>
      </c>
      <c r="BY16" s="369">
        <f t="shared" si="35"/>
        <v>0</v>
      </c>
      <c r="BZ16" s="403">
        <f t="shared" si="36"/>
        <v>0</v>
      </c>
      <c r="CA16" s="393">
        <f t="shared" si="37"/>
        <v>0</v>
      </c>
      <c r="CC16" s="393">
        <f t="shared" si="38"/>
        <v>0</v>
      </c>
      <c r="CD16" s="393">
        <f t="shared" si="38"/>
        <v>0</v>
      </c>
      <c r="CE16" s="393">
        <f t="shared" si="39"/>
        <v>0</v>
      </c>
      <c r="CF16" s="393"/>
      <c r="CG16" s="393">
        <f t="shared" ref="CG16:CG34" si="45">CA16-CE16</f>
        <v>0</v>
      </c>
    </row>
    <row r="17" spans="1:106">
      <c r="A17" s="185" t="s">
        <v>105</v>
      </c>
      <c r="C17" s="356">
        <f>+'Gas Input Table Summary'!$E$12</f>
        <v>2.577</v>
      </c>
      <c r="D17" s="404"/>
      <c r="E17" s="185" t="s">
        <v>64</v>
      </c>
      <c r="F17" s="195">
        <f>+'Gas Input Table Summary'!$E$35</f>
        <v>0</v>
      </c>
      <c r="G17" s="195"/>
      <c r="H17" s="195"/>
      <c r="J17" s="333">
        <f t="shared" si="23"/>
        <v>4</v>
      </c>
      <c r="L17" s="366">
        <f t="shared" si="24"/>
        <v>2018</v>
      </c>
      <c r="M17" s="386">
        <f t="shared" ref="M17:M34" si="46">ROUND(IF($C$47+$F$23&gt;L17,$F$25*$F$30,0)+IF($C$48+$G$23&gt;L17,$G$25*$G$30,0)+IF($C$49+$H$23&gt;L17,$H$25*$H$30,0),0)</f>
        <v>0</v>
      </c>
      <c r="N17" s="387">
        <f t="shared" si="40"/>
        <v>2.8570000000000002</v>
      </c>
      <c r="O17" s="388">
        <f t="shared" si="0"/>
        <v>0</v>
      </c>
      <c r="P17" s="387">
        <f t="shared" si="1"/>
        <v>0</v>
      </c>
      <c r="Q17" s="389">
        <f t="shared" si="25"/>
        <v>0</v>
      </c>
      <c r="R17" s="390">
        <f t="shared" si="2"/>
        <v>0</v>
      </c>
      <c r="S17" s="372">
        <f t="shared" si="3"/>
        <v>0</v>
      </c>
      <c r="T17" s="389">
        <f t="shared" si="41"/>
        <v>147</v>
      </c>
      <c r="U17" s="391">
        <f t="shared" si="42"/>
        <v>0</v>
      </c>
      <c r="V17" s="386">
        <f t="shared" si="26"/>
        <v>0</v>
      </c>
      <c r="W17" s="392">
        <f t="shared" si="4"/>
        <v>1.494</v>
      </c>
      <c r="X17" s="393">
        <f t="shared" si="5"/>
        <v>0</v>
      </c>
      <c r="Y17" s="393">
        <v>0</v>
      </c>
      <c r="Z17" s="393">
        <v>0</v>
      </c>
      <c r="AA17" s="389">
        <f t="shared" si="6"/>
        <v>0</v>
      </c>
      <c r="AB17" s="393">
        <f t="shared" si="7"/>
        <v>0</v>
      </c>
      <c r="AE17" s="366">
        <f t="shared" si="27"/>
        <v>2018</v>
      </c>
      <c r="AF17" s="393">
        <f t="shared" si="8"/>
        <v>0</v>
      </c>
      <c r="AG17" s="368">
        <f t="shared" si="9"/>
        <v>0</v>
      </c>
      <c r="AH17" s="393">
        <f t="shared" si="43"/>
        <v>0</v>
      </c>
      <c r="AJ17" s="394">
        <f t="shared" si="28"/>
        <v>0</v>
      </c>
      <c r="AK17" s="394">
        <f t="shared" si="28"/>
        <v>0</v>
      </c>
      <c r="AL17" s="395">
        <f t="shared" si="10"/>
        <v>0</v>
      </c>
      <c r="AN17" s="396">
        <f t="shared" si="11"/>
        <v>0</v>
      </c>
      <c r="AQ17" s="366">
        <f t="shared" si="29"/>
        <v>2018</v>
      </c>
      <c r="AR17" s="393">
        <f t="shared" si="12"/>
        <v>0</v>
      </c>
      <c r="AS17" s="393">
        <f t="shared" si="13"/>
        <v>0</v>
      </c>
      <c r="AT17" s="397">
        <f t="shared" si="14"/>
        <v>2.5999999999999999E-2</v>
      </c>
      <c r="AU17" s="398">
        <f t="shared" ref="AU17:AU34" si="47">ROUND((IF($C$47+$F$23&gt;$AQ17,$F$27*$F$30,0)+IF($C$48+$G$23&gt;AQ17,$G$27*$G$30,0)+IF($C$49+$H$23&gt;AQ17,$H$27*$H$30,0))*AT17,0)</f>
        <v>0</v>
      </c>
      <c r="AV17" s="387">
        <f t="shared" si="15"/>
        <v>0.38300000000000001</v>
      </c>
      <c r="AW17" s="393">
        <f t="shared" si="16"/>
        <v>0</v>
      </c>
      <c r="AX17" s="397"/>
      <c r="AY17" s="399"/>
      <c r="AZ17" s="393">
        <f t="shared" si="30"/>
        <v>0</v>
      </c>
      <c r="BA17" s="381"/>
      <c r="BB17" s="393">
        <v>0</v>
      </c>
      <c r="BC17" s="393">
        <v>0</v>
      </c>
      <c r="BD17" s="400">
        <f t="shared" si="31"/>
        <v>0</v>
      </c>
      <c r="BE17" s="393">
        <f t="shared" si="17"/>
        <v>0</v>
      </c>
      <c r="BH17" s="366">
        <f t="shared" si="32"/>
        <v>2018</v>
      </c>
      <c r="BI17" s="393">
        <v>0</v>
      </c>
      <c r="BJ17" s="369">
        <f t="shared" si="18"/>
        <v>0</v>
      </c>
      <c r="BK17" s="401">
        <f t="shared" si="19"/>
        <v>6.3460000000000001</v>
      </c>
      <c r="BL17" s="393">
        <f t="shared" si="44"/>
        <v>0</v>
      </c>
      <c r="BM17" s="401">
        <f t="shared" si="20"/>
        <v>0.155</v>
      </c>
      <c r="BN17" s="398">
        <f t="shared" ref="BN17:BN34" si="48">ROUND((IF($C$47+$F$23&gt;BH17,$F$27*$F$30,0)+IF($C$49+$H$23&gt;BH17,$H$27*$H$30,0)+IF($C$48+$G$23&gt;BH17,$G$27*$G$30,0))*BM17,0)</f>
        <v>0</v>
      </c>
      <c r="BO17" s="402"/>
      <c r="BP17" s="393">
        <f t="shared" si="21"/>
        <v>0</v>
      </c>
      <c r="BR17" s="393">
        <f t="shared" ref="BR17:BR34" si="49">+BC17</f>
        <v>0</v>
      </c>
      <c r="BS17" s="393"/>
      <c r="BT17" s="393">
        <f t="shared" si="33"/>
        <v>0</v>
      </c>
      <c r="BW17" s="366">
        <f t="shared" si="34"/>
        <v>2018</v>
      </c>
      <c r="BX17" s="393">
        <f t="shared" si="22"/>
        <v>0</v>
      </c>
      <c r="BY17" s="369">
        <f t="shared" si="35"/>
        <v>0</v>
      </c>
      <c r="BZ17" s="403">
        <f t="shared" si="36"/>
        <v>0</v>
      </c>
      <c r="CA17" s="393">
        <f t="shared" si="37"/>
        <v>0</v>
      </c>
      <c r="CC17" s="393">
        <f t="shared" si="38"/>
        <v>0</v>
      </c>
      <c r="CD17" s="393">
        <f t="shared" si="38"/>
        <v>0</v>
      </c>
      <c r="CE17" s="393">
        <f t="shared" si="39"/>
        <v>0</v>
      </c>
      <c r="CF17" s="393"/>
      <c r="CG17" s="393">
        <f t="shared" si="45"/>
        <v>0</v>
      </c>
    </row>
    <row r="18" spans="1:106">
      <c r="A18" s="185" t="s">
        <v>18</v>
      </c>
      <c r="C18" s="358">
        <f>+'Gas Input Table Summary'!$E$13</f>
        <v>3.5000000000000003E-2</v>
      </c>
      <c r="E18" s="187" t="s">
        <v>65</v>
      </c>
      <c r="F18" s="405">
        <f>+'Gas Input Table Summary'!$E$38</f>
        <v>0</v>
      </c>
      <c r="G18" s="405"/>
      <c r="H18" s="405"/>
      <c r="J18" s="333">
        <f t="shared" si="23"/>
        <v>5</v>
      </c>
      <c r="L18" s="366">
        <f t="shared" si="24"/>
        <v>2019</v>
      </c>
      <c r="M18" s="386">
        <f t="shared" si="46"/>
        <v>0</v>
      </c>
      <c r="N18" s="387">
        <f t="shared" si="40"/>
        <v>2.9569999999999999</v>
      </c>
      <c r="O18" s="388">
        <f t="shared" si="0"/>
        <v>0</v>
      </c>
      <c r="P18" s="387">
        <f t="shared" si="1"/>
        <v>0</v>
      </c>
      <c r="Q18" s="389">
        <f t="shared" si="25"/>
        <v>0</v>
      </c>
      <c r="R18" s="390">
        <f t="shared" si="2"/>
        <v>0</v>
      </c>
      <c r="S18" s="372">
        <f t="shared" si="3"/>
        <v>0</v>
      </c>
      <c r="T18" s="389">
        <f t="shared" si="41"/>
        <v>148</v>
      </c>
      <c r="U18" s="391">
        <f t="shared" si="42"/>
        <v>0</v>
      </c>
      <c r="V18" s="386">
        <f t="shared" si="26"/>
        <v>0</v>
      </c>
      <c r="W18" s="392">
        <f t="shared" si="4"/>
        <v>1.546</v>
      </c>
      <c r="X18" s="393">
        <f t="shared" si="5"/>
        <v>0</v>
      </c>
      <c r="Y18" s="393">
        <v>0</v>
      </c>
      <c r="Z18" s="393">
        <v>0</v>
      </c>
      <c r="AA18" s="389">
        <f t="shared" si="6"/>
        <v>0</v>
      </c>
      <c r="AB18" s="393">
        <f t="shared" si="7"/>
        <v>0</v>
      </c>
      <c r="AE18" s="366">
        <f t="shared" si="27"/>
        <v>2019</v>
      </c>
      <c r="AF18" s="393">
        <f t="shared" si="8"/>
        <v>0</v>
      </c>
      <c r="AG18" s="368">
        <f t="shared" si="9"/>
        <v>0</v>
      </c>
      <c r="AH18" s="393">
        <f t="shared" si="43"/>
        <v>0</v>
      </c>
      <c r="AJ18" s="394">
        <f t="shared" si="28"/>
        <v>0</v>
      </c>
      <c r="AK18" s="394">
        <f t="shared" si="28"/>
        <v>0</v>
      </c>
      <c r="AL18" s="395">
        <f t="shared" si="10"/>
        <v>0</v>
      </c>
      <c r="AN18" s="396">
        <f t="shared" si="11"/>
        <v>0</v>
      </c>
      <c r="AQ18" s="366">
        <f t="shared" si="29"/>
        <v>2019</v>
      </c>
      <c r="AR18" s="393">
        <f t="shared" si="12"/>
        <v>0</v>
      </c>
      <c r="AS18" s="393">
        <f t="shared" si="13"/>
        <v>0</v>
      </c>
      <c r="AT18" s="397">
        <f t="shared" si="14"/>
        <v>2.7E-2</v>
      </c>
      <c r="AU18" s="398">
        <f t="shared" si="47"/>
        <v>0</v>
      </c>
      <c r="AV18" s="387">
        <f t="shared" si="15"/>
        <v>0.39200000000000002</v>
      </c>
      <c r="AW18" s="393">
        <f t="shared" si="16"/>
        <v>0</v>
      </c>
      <c r="AX18" s="397"/>
      <c r="AY18" s="399"/>
      <c r="AZ18" s="393">
        <f t="shared" si="30"/>
        <v>0</v>
      </c>
      <c r="BA18" s="381"/>
      <c r="BB18" s="393">
        <v>0</v>
      </c>
      <c r="BC18" s="393">
        <v>0</v>
      </c>
      <c r="BD18" s="400">
        <f t="shared" si="31"/>
        <v>0</v>
      </c>
      <c r="BE18" s="393">
        <f t="shared" si="17"/>
        <v>0</v>
      </c>
      <c r="BH18" s="366">
        <f t="shared" si="32"/>
        <v>2019</v>
      </c>
      <c r="BI18" s="393">
        <v>0</v>
      </c>
      <c r="BJ18" s="369">
        <f t="shared" si="18"/>
        <v>0</v>
      </c>
      <c r="BK18" s="401">
        <f t="shared" si="19"/>
        <v>6.5679999999999996</v>
      </c>
      <c r="BL18" s="393">
        <f t="shared" si="44"/>
        <v>0</v>
      </c>
      <c r="BM18" s="401">
        <f t="shared" si="20"/>
        <v>0.16</v>
      </c>
      <c r="BN18" s="398">
        <f t="shared" si="48"/>
        <v>0</v>
      </c>
      <c r="BO18" s="402"/>
      <c r="BP18" s="393">
        <f t="shared" si="21"/>
        <v>0</v>
      </c>
      <c r="BR18" s="393">
        <f t="shared" si="49"/>
        <v>0</v>
      </c>
      <c r="BS18" s="393"/>
      <c r="BT18" s="393">
        <f t="shared" si="33"/>
        <v>0</v>
      </c>
      <c r="BW18" s="366">
        <f t="shared" si="34"/>
        <v>2019</v>
      </c>
      <c r="BX18" s="393">
        <f t="shared" si="22"/>
        <v>0</v>
      </c>
      <c r="BY18" s="369">
        <f t="shared" si="35"/>
        <v>0</v>
      </c>
      <c r="BZ18" s="403">
        <f t="shared" si="36"/>
        <v>0</v>
      </c>
      <c r="CA18" s="393">
        <f t="shared" si="37"/>
        <v>0</v>
      </c>
      <c r="CC18" s="393">
        <f t="shared" si="38"/>
        <v>0</v>
      </c>
      <c r="CD18" s="393">
        <f t="shared" si="38"/>
        <v>0</v>
      </c>
      <c r="CE18" s="393">
        <f t="shared" si="39"/>
        <v>0</v>
      </c>
      <c r="CF18" s="393"/>
      <c r="CG18" s="393">
        <f t="shared" si="45"/>
        <v>0</v>
      </c>
      <c r="DB18" s="337" t="s">
        <v>42</v>
      </c>
    </row>
    <row r="19" spans="1:106">
      <c r="C19" s="185"/>
      <c r="J19" s="333">
        <f t="shared" si="23"/>
        <v>6</v>
      </c>
      <c r="L19" s="366">
        <f t="shared" si="24"/>
        <v>2020</v>
      </c>
      <c r="M19" s="386">
        <f t="shared" si="46"/>
        <v>0</v>
      </c>
      <c r="N19" s="387">
        <f t="shared" si="40"/>
        <v>3.0609999999999999</v>
      </c>
      <c r="O19" s="388">
        <f t="shared" si="0"/>
        <v>0</v>
      </c>
      <c r="P19" s="387">
        <f t="shared" si="1"/>
        <v>0</v>
      </c>
      <c r="Q19" s="389">
        <f t="shared" si="25"/>
        <v>0</v>
      </c>
      <c r="R19" s="390">
        <f t="shared" si="2"/>
        <v>0</v>
      </c>
      <c r="S19" s="372">
        <f t="shared" si="3"/>
        <v>0</v>
      </c>
      <c r="T19" s="389">
        <f t="shared" si="41"/>
        <v>149</v>
      </c>
      <c r="U19" s="391">
        <f t="shared" si="42"/>
        <v>0</v>
      </c>
      <c r="V19" s="386">
        <f t="shared" si="26"/>
        <v>0</v>
      </c>
      <c r="W19" s="392">
        <f t="shared" si="4"/>
        <v>1.6</v>
      </c>
      <c r="X19" s="393">
        <f t="shared" si="5"/>
        <v>0</v>
      </c>
      <c r="Y19" s="393">
        <v>0</v>
      </c>
      <c r="Z19" s="393">
        <v>0</v>
      </c>
      <c r="AA19" s="389">
        <f t="shared" si="6"/>
        <v>0</v>
      </c>
      <c r="AB19" s="393">
        <f t="shared" si="7"/>
        <v>0</v>
      </c>
      <c r="AE19" s="366">
        <f t="shared" si="27"/>
        <v>2020</v>
      </c>
      <c r="AF19" s="393">
        <f t="shared" si="8"/>
        <v>0</v>
      </c>
      <c r="AG19" s="368">
        <f t="shared" si="9"/>
        <v>0</v>
      </c>
      <c r="AH19" s="393">
        <f t="shared" si="43"/>
        <v>0</v>
      </c>
      <c r="AJ19" s="394">
        <f t="shared" si="28"/>
        <v>0</v>
      </c>
      <c r="AK19" s="394">
        <f t="shared" si="28"/>
        <v>0</v>
      </c>
      <c r="AL19" s="395">
        <f t="shared" si="10"/>
        <v>0</v>
      </c>
      <c r="AN19" s="396">
        <f t="shared" si="11"/>
        <v>0</v>
      </c>
      <c r="AQ19" s="366">
        <f t="shared" si="29"/>
        <v>2020</v>
      </c>
      <c r="AR19" s="393">
        <f t="shared" si="12"/>
        <v>0</v>
      </c>
      <c r="AS19" s="393">
        <f t="shared" si="13"/>
        <v>0</v>
      </c>
      <c r="AT19" s="397">
        <f t="shared" si="14"/>
        <v>2.8000000000000001E-2</v>
      </c>
      <c r="AU19" s="398">
        <f t="shared" si="47"/>
        <v>0</v>
      </c>
      <c r="AV19" s="387">
        <f t="shared" si="15"/>
        <v>0.40100000000000002</v>
      </c>
      <c r="AW19" s="393">
        <f t="shared" si="16"/>
        <v>0</v>
      </c>
      <c r="AX19" s="397"/>
      <c r="AY19" s="399"/>
      <c r="AZ19" s="393">
        <f t="shared" si="30"/>
        <v>0</v>
      </c>
      <c r="BA19" s="381"/>
      <c r="BB19" s="393">
        <v>0</v>
      </c>
      <c r="BC19" s="393">
        <v>0</v>
      </c>
      <c r="BD19" s="400">
        <f t="shared" si="31"/>
        <v>0</v>
      </c>
      <c r="BE19" s="393">
        <f t="shared" si="17"/>
        <v>0</v>
      </c>
      <c r="BH19" s="366">
        <f t="shared" si="32"/>
        <v>2020</v>
      </c>
      <c r="BI19" s="393">
        <v>0</v>
      </c>
      <c r="BJ19" s="369">
        <f t="shared" si="18"/>
        <v>0</v>
      </c>
      <c r="BK19" s="401">
        <f t="shared" si="19"/>
        <v>6.798</v>
      </c>
      <c r="BL19" s="393">
        <f t="shared" si="44"/>
        <v>0</v>
      </c>
      <c r="BM19" s="401">
        <f t="shared" si="20"/>
        <v>0.16600000000000001</v>
      </c>
      <c r="BN19" s="398">
        <f t="shared" si="48"/>
        <v>0</v>
      </c>
      <c r="BO19" s="402"/>
      <c r="BP19" s="393">
        <f t="shared" si="21"/>
        <v>0</v>
      </c>
      <c r="BR19" s="393">
        <f t="shared" si="49"/>
        <v>0</v>
      </c>
      <c r="BS19" s="393"/>
      <c r="BT19" s="393">
        <f t="shared" si="33"/>
        <v>0</v>
      </c>
      <c r="BW19" s="366">
        <f t="shared" si="34"/>
        <v>2020</v>
      </c>
      <c r="BX19" s="393">
        <f t="shared" si="22"/>
        <v>0</v>
      </c>
      <c r="BY19" s="369">
        <f t="shared" si="35"/>
        <v>0</v>
      </c>
      <c r="BZ19" s="403">
        <f t="shared" si="36"/>
        <v>0</v>
      </c>
      <c r="CA19" s="393">
        <f t="shared" si="37"/>
        <v>0</v>
      </c>
      <c r="CC19" s="393">
        <f t="shared" si="38"/>
        <v>0</v>
      </c>
      <c r="CD19" s="393">
        <f t="shared" si="38"/>
        <v>0</v>
      </c>
      <c r="CE19" s="393">
        <f t="shared" si="39"/>
        <v>0</v>
      </c>
      <c r="CF19" s="393"/>
      <c r="CG19" s="393">
        <f t="shared" si="45"/>
        <v>0</v>
      </c>
    </row>
    <row r="20" spans="1:106">
      <c r="A20" s="185" t="s">
        <v>66</v>
      </c>
      <c r="C20" s="406">
        <f>+'Gas Input Table Summary'!$E$14</f>
        <v>142.21</v>
      </c>
      <c r="E20" s="185" t="s">
        <v>67</v>
      </c>
      <c r="F20" s="195">
        <f>+'Gas Input Table Summary'!$E$41</f>
        <v>0</v>
      </c>
      <c r="G20" s="195"/>
      <c r="H20" s="195"/>
      <c r="J20" s="333">
        <f t="shared" si="23"/>
        <v>7</v>
      </c>
      <c r="L20" s="366">
        <f t="shared" si="24"/>
        <v>2021</v>
      </c>
      <c r="M20" s="386">
        <f t="shared" si="46"/>
        <v>0</v>
      </c>
      <c r="N20" s="387">
        <f t="shared" si="40"/>
        <v>3.1680000000000001</v>
      </c>
      <c r="O20" s="388">
        <f t="shared" si="0"/>
        <v>0</v>
      </c>
      <c r="P20" s="387">
        <f t="shared" si="1"/>
        <v>0</v>
      </c>
      <c r="Q20" s="389">
        <f t="shared" si="25"/>
        <v>0</v>
      </c>
      <c r="R20" s="390">
        <f t="shared" si="2"/>
        <v>0</v>
      </c>
      <c r="S20" s="372">
        <f t="shared" si="3"/>
        <v>0</v>
      </c>
      <c r="T20" s="389">
        <f t="shared" si="41"/>
        <v>151</v>
      </c>
      <c r="U20" s="391">
        <f t="shared" si="42"/>
        <v>0</v>
      </c>
      <c r="V20" s="386">
        <f t="shared" si="26"/>
        <v>0</v>
      </c>
      <c r="W20" s="392">
        <f t="shared" si="4"/>
        <v>1.657</v>
      </c>
      <c r="X20" s="393">
        <f t="shared" si="5"/>
        <v>0</v>
      </c>
      <c r="Y20" s="393">
        <v>0</v>
      </c>
      <c r="Z20" s="393">
        <v>0</v>
      </c>
      <c r="AA20" s="389">
        <f t="shared" si="6"/>
        <v>0</v>
      </c>
      <c r="AB20" s="393">
        <f t="shared" si="7"/>
        <v>0</v>
      </c>
      <c r="AE20" s="366">
        <f t="shared" si="27"/>
        <v>2021</v>
      </c>
      <c r="AF20" s="393">
        <f t="shared" si="8"/>
        <v>0</v>
      </c>
      <c r="AG20" s="368">
        <f t="shared" si="9"/>
        <v>0</v>
      </c>
      <c r="AH20" s="393">
        <f t="shared" si="43"/>
        <v>0</v>
      </c>
      <c r="AJ20" s="394">
        <f t="shared" si="28"/>
        <v>0</v>
      </c>
      <c r="AK20" s="394">
        <f t="shared" si="28"/>
        <v>0</v>
      </c>
      <c r="AL20" s="395">
        <f t="shared" si="10"/>
        <v>0</v>
      </c>
      <c r="AN20" s="396">
        <f t="shared" si="11"/>
        <v>0</v>
      </c>
      <c r="AQ20" s="366">
        <f t="shared" si="29"/>
        <v>2021</v>
      </c>
      <c r="AR20" s="393">
        <f t="shared" si="12"/>
        <v>0</v>
      </c>
      <c r="AS20" s="393">
        <f t="shared" si="13"/>
        <v>0</v>
      </c>
      <c r="AT20" s="397">
        <f t="shared" si="14"/>
        <v>2.9000000000000001E-2</v>
      </c>
      <c r="AU20" s="398">
        <f t="shared" si="47"/>
        <v>0</v>
      </c>
      <c r="AV20" s="387">
        <f t="shared" si="15"/>
        <v>0.41</v>
      </c>
      <c r="AW20" s="393">
        <f t="shared" si="16"/>
        <v>0</v>
      </c>
      <c r="AX20" s="397"/>
      <c r="AY20" s="399"/>
      <c r="AZ20" s="393">
        <f t="shared" si="30"/>
        <v>0</v>
      </c>
      <c r="BA20" s="381"/>
      <c r="BB20" s="393">
        <v>0</v>
      </c>
      <c r="BC20" s="393">
        <v>0</v>
      </c>
      <c r="BD20" s="400">
        <f t="shared" si="31"/>
        <v>0</v>
      </c>
      <c r="BE20" s="393">
        <f t="shared" si="17"/>
        <v>0</v>
      </c>
      <c r="BH20" s="366">
        <f t="shared" si="32"/>
        <v>2021</v>
      </c>
      <c r="BI20" s="393">
        <v>0</v>
      </c>
      <c r="BJ20" s="369">
        <f t="shared" si="18"/>
        <v>0</v>
      </c>
      <c r="BK20" s="401">
        <f t="shared" si="19"/>
        <v>7.0359999999999996</v>
      </c>
      <c r="BL20" s="393">
        <f t="shared" si="44"/>
        <v>0</v>
      </c>
      <c r="BM20" s="401">
        <f t="shared" si="20"/>
        <v>0.17199999999999999</v>
      </c>
      <c r="BN20" s="398">
        <f t="shared" si="48"/>
        <v>0</v>
      </c>
      <c r="BO20" s="402"/>
      <c r="BP20" s="393">
        <f t="shared" si="21"/>
        <v>0</v>
      </c>
      <c r="BR20" s="393">
        <f t="shared" si="49"/>
        <v>0</v>
      </c>
      <c r="BS20" s="393"/>
      <c r="BT20" s="393">
        <f t="shared" si="33"/>
        <v>0</v>
      </c>
      <c r="BW20" s="366">
        <f t="shared" si="34"/>
        <v>2021</v>
      </c>
      <c r="BX20" s="393">
        <f t="shared" si="22"/>
        <v>0</v>
      </c>
      <c r="BY20" s="369">
        <f t="shared" si="35"/>
        <v>0</v>
      </c>
      <c r="BZ20" s="403">
        <f t="shared" si="36"/>
        <v>0</v>
      </c>
      <c r="CA20" s="393">
        <f t="shared" si="37"/>
        <v>0</v>
      </c>
      <c r="CC20" s="393">
        <f t="shared" si="38"/>
        <v>0</v>
      </c>
      <c r="CD20" s="393">
        <f t="shared" si="38"/>
        <v>0</v>
      </c>
      <c r="CE20" s="393">
        <f t="shared" si="39"/>
        <v>0</v>
      </c>
      <c r="CF20" s="393"/>
      <c r="CG20" s="393">
        <f t="shared" si="45"/>
        <v>0</v>
      </c>
      <c r="DB20" s="366"/>
    </row>
    <row r="21" spans="1:106">
      <c r="A21" s="185" t="s">
        <v>18</v>
      </c>
      <c r="C21" s="358">
        <f>+'Gas Input Table Summary'!$E$15</f>
        <v>0.01</v>
      </c>
      <c r="E21" s="187" t="s">
        <v>65</v>
      </c>
      <c r="F21" s="405">
        <f>+'Gas Input Table Summary'!$E$44</f>
        <v>0</v>
      </c>
      <c r="G21" s="405"/>
      <c r="H21" s="405"/>
      <c r="J21" s="333">
        <f t="shared" si="23"/>
        <v>8</v>
      </c>
      <c r="L21" s="366">
        <f t="shared" si="24"/>
        <v>2022</v>
      </c>
      <c r="M21" s="386">
        <f t="shared" si="46"/>
        <v>0</v>
      </c>
      <c r="N21" s="387">
        <f t="shared" si="40"/>
        <v>3.2789999999999999</v>
      </c>
      <c r="O21" s="388">
        <f t="shared" si="0"/>
        <v>0</v>
      </c>
      <c r="P21" s="387">
        <f t="shared" si="1"/>
        <v>0</v>
      </c>
      <c r="Q21" s="389">
        <f t="shared" si="25"/>
        <v>0</v>
      </c>
      <c r="R21" s="390">
        <f t="shared" si="2"/>
        <v>0</v>
      </c>
      <c r="S21" s="372">
        <f t="shared" si="3"/>
        <v>0</v>
      </c>
      <c r="T21" s="389">
        <f t="shared" si="41"/>
        <v>152</v>
      </c>
      <c r="U21" s="391">
        <f t="shared" si="42"/>
        <v>0</v>
      </c>
      <c r="V21" s="386">
        <f t="shared" si="26"/>
        <v>0</v>
      </c>
      <c r="W21" s="392">
        <f t="shared" si="4"/>
        <v>1.714</v>
      </c>
      <c r="X21" s="393">
        <f t="shared" si="5"/>
        <v>0</v>
      </c>
      <c r="Y21" s="393">
        <v>0</v>
      </c>
      <c r="Z21" s="393">
        <v>0</v>
      </c>
      <c r="AA21" s="389">
        <f t="shared" si="6"/>
        <v>0</v>
      </c>
      <c r="AB21" s="393">
        <f t="shared" si="7"/>
        <v>0</v>
      </c>
      <c r="AE21" s="366">
        <f t="shared" si="27"/>
        <v>2022</v>
      </c>
      <c r="AF21" s="393">
        <f t="shared" si="8"/>
        <v>0</v>
      </c>
      <c r="AG21" s="368">
        <f t="shared" si="9"/>
        <v>0</v>
      </c>
      <c r="AH21" s="393">
        <f t="shared" si="43"/>
        <v>0</v>
      </c>
      <c r="AJ21" s="394">
        <f t="shared" si="28"/>
        <v>0</v>
      </c>
      <c r="AK21" s="394">
        <f t="shared" si="28"/>
        <v>0</v>
      </c>
      <c r="AL21" s="395">
        <f t="shared" si="10"/>
        <v>0</v>
      </c>
      <c r="AN21" s="396">
        <f t="shared" si="11"/>
        <v>0</v>
      </c>
      <c r="AQ21" s="366">
        <f t="shared" si="29"/>
        <v>2022</v>
      </c>
      <c r="AR21" s="393">
        <f t="shared" si="12"/>
        <v>0</v>
      </c>
      <c r="AS21" s="393">
        <f t="shared" si="13"/>
        <v>0</v>
      </c>
      <c r="AT21" s="397">
        <f t="shared" si="14"/>
        <v>0.03</v>
      </c>
      <c r="AU21" s="398">
        <f t="shared" si="47"/>
        <v>0</v>
      </c>
      <c r="AV21" s="387">
        <f t="shared" si="15"/>
        <v>0.42</v>
      </c>
      <c r="AW21" s="393">
        <f t="shared" si="16"/>
        <v>0</v>
      </c>
      <c r="AX21" s="397"/>
      <c r="AY21" s="399"/>
      <c r="AZ21" s="393">
        <f t="shared" si="30"/>
        <v>0</v>
      </c>
      <c r="BA21" s="381"/>
      <c r="BB21" s="393">
        <v>0</v>
      </c>
      <c r="BC21" s="393">
        <v>0</v>
      </c>
      <c r="BD21" s="400">
        <f t="shared" si="31"/>
        <v>0</v>
      </c>
      <c r="BE21" s="393">
        <f t="shared" si="17"/>
        <v>0</v>
      </c>
      <c r="BH21" s="366">
        <f t="shared" si="32"/>
        <v>2022</v>
      </c>
      <c r="BI21" s="393">
        <v>0</v>
      </c>
      <c r="BJ21" s="369">
        <f t="shared" si="18"/>
        <v>0</v>
      </c>
      <c r="BK21" s="401">
        <f t="shared" si="19"/>
        <v>7.282</v>
      </c>
      <c r="BL21" s="393">
        <f t="shared" si="44"/>
        <v>0</v>
      </c>
      <c r="BM21" s="401">
        <f t="shared" si="20"/>
        <v>0.17799999999999999</v>
      </c>
      <c r="BN21" s="398">
        <f t="shared" si="48"/>
        <v>0</v>
      </c>
      <c r="BO21" s="402"/>
      <c r="BP21" s="393">
        <f t="shared" si="21"/>
        <v>0</v>
      </c>
      <c r="BR21" s="393">
        <f t="shared" si="49"/>
        <v>0</v>
      </c>
      <c r="BS21" s="393"/>
      <c r="BT21" s="393">
        <f t="shared" si="33"/>
        <v>0</v>
      </c>
      <c r="BW21" s="366">
        <f t="shared" si="34"/>
        <v>2022</v>
      </c>
      <c r="BX21" s="393">
        <f t="shared" si="22"/>
        <v>0</v>
      </c>
      <c r="BY21" s="369">
        <f t="shared" si="35"/>
        <v>0</v>
      </c>
      <c r="BZ21" s="403">
        <f t="shared" si="36"/>
        <v>0</v>
      </c>
      <c r="CA21" s="393">
        <f t="shared" si="37"/>
        <v>0</v>
      </c>
      <c r="CC21" s="393">
        <f t="shared" si="38"/>
        <v>0</v>
      </c>
      <c r="CD21" s="393">
        <f t="shared" si="38"/>
        <v>0</v>
      </c>
      <c r="CE21" s="393">
        <f t="shared" si="39"/>
        <v>0</v>
      </c>
      <c r="CF21" s="393"/>
      <c r="CG21" s="393">
        <f t="shared" si="45"/>
        <v>0</v>
      </c>
      <c r="DB21" s="333">
        <f>$J14</f>
        <v>1</v>
      </c>
    </row>
    <row r="22" spans="1:106">
      <c r="F22" s="368"/>
      <c r="G22" s="368"/>
      <c r="H22" s="368"/>
      <c r="J22" s="333">
        <f t="shared" si="23"/>
        <v>9</v>
      </c>
      <c r="L22" s="366">
        <f t="shared" si="24"/>
        <v>2023</v>
      </c>
      <c r="M22" s="386">
        <f t="shared" si="46"/>
        <v>0</v>
      </c>
      <c r="N22" s="387">
        <f t="shared" si="40"/>
        <v>3.3929999999999998</v>
      </c>
      <c r="O22" s="388">
        <f t="shared" si="0"/>
        <v>0</v>
      </c>
      <c r="P22" s="387">
        <f t="shared" si="1"/>
        <v>0</v>
      </c>
      <c r="Q22" s="389">
        <f t="shared" si="25"/>
        <v>0</v>
      </c>
      <c r="R22" s="390">
        <f t="shared" si="2"/>
        <v>0</v>
      </c>
      <c r="S22" s="372">
        <f t="shared" si="3"/>
        <v>0</v>
      </c>
      <c r="T22" s="389">
        <f t="shared" si="41"/>
        <v>154</v>
      </c>
      <c r="U22" s="391">
        <f t="shared" si="42"/>
        <v>0</v>
      </c>
      <c r="V22" s="386">
        <f t="shared" si="26"/>
        <v>0</v>
      </c>
      <c r="W22" s="392">
        <f t="shared" si="4"/>
        <v>1.774</v>
      </c>
      <c r="X22" s="393">
        <f t="shared" si="5"/>
        <v>0</v>
      </c>
      <c r="Y22" s="393">
        <v>0</v>
      </c>
      <c r="Z22" s="393">
        <v>0</v>
      </c>
      <c r="AA22" s="389">
        <f t="shared" si="6"/>
        <v>0</v>
      </c>
      <c r="AB22" s="393">
        <f t="shared" si="7"/>
        <v>0</v>
      </c>
      <c r="AE22" s="366">
        <f t="shared" si="27"/>
        <v>2023</v>
      </c>
      <c r="AF22" s="393">
        <f t="shared" si="8"/>
        <v>0</v>
      </c>
      <c r="AG22" s="368">
        <f t="shared" si="9"/>
        <v>0</v>
      </c>
      <c r="AH22" s="393">
        <f t="shared" si="43"/>
        <v>0</v>
      </c>
      <c r="AJ22" s="394">
        <f t="shared" si="28"/>
        <v>0</v>
      </c>
      <c r="AK22" s="394">
        <f t="shared" si="28"/>
        <v>0</v>
      </c>
      <c r="AL22" s="395">
        <f t="shared" si="10"/>
        <v>0</v>
      </c>
      <c r="AN22" s="396">
        <f t="shared" si="11"/>
        <v>0</v>
      </c>
      <c r="AQ22" s="366">
        <f t="shared" si="29"/>
        <v>2023</v>
      </c>
      <c r="AR22" s="393">
        <f t="shared" si="12"/>
        <v>0</v>
      </c>
      <c r="AS22" s="393">
        <f t="shared" si="13"/>
        <v>0</v>
      </c>
      <c r="AT22" s="397">
        <f t="shared" si="14"/>
        <v>3.1E-2</v>
      </c>
      <c r="AU22" s="398">
        <f t="shared" si="47"/>
        <v>0</v>
      </c>
      <c r="AV22" s="387">
        <f t="shared" si="15"/>
        <v>0.42899999999999999</v>
      </c>
      <c r="AW22" s="393">
        <f t="shared" si="16"/>
        <v>0</v>
      </c>
      <c r="AX22" s="397"/>
      <c r="AY22" s="399"/>
      <c r="AZ22" s="393">
        <f t="shared" si="30"/>
        <v>0</v>
      </c>
      <c r="BA22" s="381"/>
      <c r="BB22" s="393">
        <v>0</v>
      </c>
      <c r="BC22" s="393">
        <v>0</v>
      </c>
      <c r="BD22" s="400">
        <f t="shared" si="31"/>
        <v>0</v>
      </c>
      <c r="BE22" s="393">
        <f t="shared" si="17"/>
        <v>0</v>
      </c>
      <c r="BH22" s="366">
        <f t="shared" si="32"/>
        <v>2023</v>
      </c>
      <c r="BI22" s="393">
        <v>0</v>
      </c>
      <c r="BJ22" s="369">
        <f t="shared" si="18"/>
        <v>0</v>
      </c>
      <c r="BK22" s="401">
        <f t="shared" si="19"/>
        <v>7.5369999999999999</v>
      </c>
      <c r="BL22" s="393">
        <f t="shared" si="44"/>
        <v>0</v>
      </c>
      <c r="BM22" s="401">
        <f t="shared" si="20"/>
        <v>0.184</v>
      </c>
      <c r="BN22" s="398">
        <f t="shared" si="48"/>
        <v>0</v>
      </c>
      <c r="BO22" s="402"/>
      <c r="BP22" s="393">
        <f t="shared" si="21"/>
        <v>0</v>
      </c>
      <c r="BR22" s="393">
        <f t="shared" si="49"/>
        <v>0</v>
      </c>
      <c r="BS22" s="393"/>
      <c r="BT22" s="393">
        <f t="shared" si="33"/>
        <v>0</v>
      </c>
      <c r="BW22" s="366">
        <f t="shared" si="34"/>
        <v>2023</v>
      </c>
      <c r="BX22" s="393">
        <f t="shared" si="22"/>
        <v>0</v>
      </c>
      <c r="BY22" s="369">
        <f t="shared" si="35"/>
        <v>0</v>
      </c>
      <c r="BZ22" s="403">
        <f t="shared" si="36"/>
        <v>0</v>
      </c>
      <c r="CA22" s="393">
        <f t="shared" si="37"/>
        <v>0</v>
      </c>
      <c r="CC22" s="393">
        <f t="shared" si="38"/>
        <v>0</v>
      </c>
      <c r="CD22" s="393">
        <f t="shared" si="38"/>
        <v>0</v>
      </c>
      <c r="CE22" s="393">
        <f t="shared" si="39"/>
        <v>0</v>
      </c>
      <c r="CF22" s="393"/>
      <c r="CG22" s="393">
        <f t="shared" si="45"/>
        <v>0</v>
      </c>
      <c r="DB22" s="333">
        <f>$J15</f>
        <v>2</v>
      </c>
    </row>
    <row r="23" spans="1:106">
      <c r="A23" s="185" t="s">
        <v>68</v>
      </c>
      <c r="C23" s="407">
        <f>+'Gas Input Table Summary'!$E$16</f>
        <v>0.01</v>
      </c>
      <c r="E23" s="185" t="s">
        <v>69</v>
      </c>
      <c r="F23" s="408">
        <f>ROUND('Database Inputs'!D16,0)</f>
        <v>20</v>
      </c>
      <c r="G23" s="408"/>
      <c r="H23" s="408"/>
      <c r="J23" s="333">
        <f t="shared" si="23"/>
        <v>10</v>
      </c>
      <c r="L23" s="366">
        <f t="shared" si="24"/>
        <v>2024</v>
      </c>
      <c r="M23" s="386">
        <f t="shared" si="46"/>
        <v>0</v>
      </c>
      <c r="N23" s="387">
        <f t="shared" si="40"/>
        <v>3.512</v>
      </c>
      <c r="O23" s="388">
        <f t="shared" si="0"/>
        <v>0</v>
      </c>
      <c r="P23" s="387">
        <f t="shared" si="1"/>
        <v>0</v>
      </c>
      <c r="Q23" s="389">
        <f t="shared" si="25"/>
        <v>0</v>
      </c>
      <c r="R23" s="390">
        <f t="shared" si="2"/>
        <v>0</v>
      </c>
      <c r="S23" s="372">
        <f t="shared" si="3"/>
        <v>0</v>
      </c>
      <c r="T23" s="389">
        <f t="shared" si="41"/>
        <v>156</v>
      </c>
      <c r="U23" s="391">
        <f t="shared" si="42"/>
        <v>0</v>
      </c>
      <c r="V23" s="386">
        <f t="shared" si="26"/>
        <v>0</v>
      </c>
      <c r="W23" s="392">
        <f t="shared" si="4"/>
        <v>1.837</v>
      </c>
      <c r="X23" s="393">
        <f t="shared" si="5"/>
        <v>0</v>
      </c>
      <c r="Y23" s="393">
        <v>0</v>
      </c>
      <c r="Z23" s="393">
        <v>0</v>
      </c>
      <c r="AA23" s="389">
        <f t="shared" si="6"/>
        <v>0</v>
      </c>
      <c r="AB23" s="393">
        <f t="shared" si="7"/>
        <v>0</v>
      </c>
      <c r="AE23" s="366">
        <f t="shared" si="27"/>
        <v>2024</v>
      </c>
      <c r="AF23" s="393">
        <f t="shared" si="8"/>
        <v>0</v>
      </c>
      <c r="AG23" s="368">
        <f t="shared" si="9"/>
        <v>0</v>
      </c>
      <c r="AH23" s="393">
        <f t="shared" si="43"/>
        <v>0</v>
      </c>
      <c r="AJ23" s="394">
        <f t="shared" si="28"/>
        <v>0</v>
      </c>
      <c r="AK23" s="394">
        <f t="shared" si="28"/>
        <v>0</v>
      </c>
      <c r="AL23" s="395">
        <f t="shared" si="10"/>
        <v>0</v>
      </c>
      <c r="AN23" s="396">
        <f t="shared" si="11"/>
        <v>0</v>
      </c>
      <c r="AQ23" s="366">
        <f t="shared" si="29"/>
        <v>2024</v>
      </c>
      <c r="AR23" s="393">
        <f t="shared" si="12"/>
        <v>0</v>
      </c>
      <c r="AS23" s="393">
        <f t="shared" si="13"/>
        <v>0</v>
      </c>
      <c r="AT23" s="397">
        <f t="shared" si="14"/>
        <v>3.2000000000000001E-2</v>
      </c>
      <c r="AU23" s="398">
        <f t="shared" si="47"/>
        <v>0</v>
      </c>
      <c r="AV23" s="387">
        <f t="shared" si="15"/>
        <v>0.439</v>
      </c>
      <c r="AW23" s="393">
        <f t="shared" si="16"/>
        <v>0</v>
      </c>
      <c r="AX23" s="397"/>
      <c r="AY23" s="399"/>
      <c r="AZ23" s="393">
        <f t="shared" si="30"/>
        <v>0</v>
      </c>
      <c r="BA23" s="381"/>
      <c r="BB23" s="393">
        <v>0</v>
      </c>
      <c r="BC23" s="393">
        <v>0</v>
      </c>
      <c r="BD23" s="400">
        <f t="shared" si="31"/>
        <v>0</v>
      </c>
      <c r="BE23" s="393">
        <f t="shared" si="17"/>
        <v>0</v>
      </c>
      <c r="BH23" s="366">
        <f t="shared" si="32"/>
        <v>2024</v>
      </c>
      <c r="BI23" s="393">
        <v>0</v>
      </c>
      <c r="BJ23" s="369">
        <f t="shared" si="18"/>
        <v>0</v>
      </c>
      <c r="BK23" s="401">
        <f t="shared" si="19"/>
        <v>7.8010000000000002</v>
      </c>
      <c r="BL23" s="393">
        <f t="shared" si="44"/>
        <v>0</v>
      </c>
      <c r="BM23" s="401">
        <f t="shared" si="20"/>
        <v>0.19</v>
      </c>
      <c r="BN23" s="398">
        <f t="shared" si="48"/>
        <v>0</v>
      </c>
      <c r="BO23" s="402"/>
      <c r="BP23" s="393">
        <f t="shared" si="21"/>
        <v>0</v>
      </c>
      <c r="BR23" s="393">
        <f t="shared" si="49"/>
        <v>0</v>
      </c>
      <c r="BS23" s="393"/>
      <c r="BT23" s="393">
        <f t="shared" si="33"/>
        <v>0</v>
      </c>
      <c r="BW23" s="366">
        <f t="shared" si="34"/>
        <v>2024</v>
      </c>
      <c r="BX23" s="393">
        <f t="shared" si="22"/>
        <v>0</v>
      </c>
      <c r="BY23" s="369">
        <f t="shared" si="35"/>
        <v>0</v>
      </c>
      <c r="BZ23" s="403">
        <f t="shared" si="36"/>
        <v>0</v>
      </c>
      <c r="CA23" s="393">
        <f t="shared" si="37"/>
        <v>0</v>
      </c>
      <c r="CC23" s="393">
        <f t="shared" si="38"/>
        <v>0</v>
      </c>
      <c r="CD23" s="393">
        <f t="shared" si="38"/>
        <v>0</v>
      </c>
      <c r="CE23" s="393">
        <f t="shared" si="39"/>
        <v>0</v>
      </c>
      <c r="CF23" s="393"/>
      <c r="CG23" s="393">
        <f t="shared" si="45"/>
        <v>0</v>
      </c>
      <c r="DB23" s="333">
        <f>$J16</f>
        <v>3</v>
      </c>
    </row>
    <row r="24" spans="1:106">
      <c r="F24" s="368"/>
      <c r="G24" s="368"/>
      <c r="H24" s="368"/>
      <c r="J24" s="333">
        <f t="shared" si="23"/>
        <v>11</v>
      </c>
      <c r="L24" s="366">
        <f t="shared" si="24"/>
        <v>2025</v>
      </c>
      <c r="M24" s="386">
        <f t="shared" si="46"/>
        <v>0</v>
      </c>
      <c r="N24" s="387">
        <f t="shared" si="40"/>
        <v>3.6349999999999998</v>
      </c>
      <c r="O24" s="388">
        <f t="shared" si="0"/>
        <v>0</v>
      </c>
      <c r="P24" s="387">
        <f t="shared" si="1"/>
        <v>0</v>
      </c>
      <c r="Q24" s="389">
        <f t="shared" si="25"/>
        <v>0</v>
      </c>
      <c r="R24" s="390">
        <f t="shared" si="2"/>
        <v>0</v>
      </c>
      <c r="S24" s="372">
        <f t="shared" si="3"/>
        <v>0</v>
      </c>
      <c r="T24" s="389">
        <f t="shared" si="41"/>
        <v>157</v>
      </c>
      <c r="U24" s="391">
        <f t="shared" si="42"/>
        <v>0</v>
      </c>
      <c r="V24" s="386">
        <f t="shared" si="26"/>
        <v>0</v>
      </c>
      <c r="W24" s="392">
        <f t="shared" si="4"/>
        <v>1.901</v>
      </c>
      <c r="X24" s="393">
        <f t="shared" si="5"/>
        <v>0</v>
      </c>
      <c r="Y24" s="393">
        <v>0</v>
      </c>
      <c r="Z24" s="393">
        <v>0</v>
      </c>
      <c r="AA24" s="389">
        <f t="shared" si="6"/>
        <v>0</v>
      </c>
      <c r="AB24" s="393">
        <f t="shared" si="7"/>
        <v>0</v>
      </c>
      <c r="AE24" s="366">
        <f t="shared" si="27"/>
        <v>2025</v>
      </c>
      <c r="AF24" s="393">
        <f t="shared" si="8"/>
        <v>0</v>
      </c>
      <c r="AG24" s="368">
        <f t="shared" si="9"/>
        <v>0</v>
      </c>
      <c r="AH24" s="393">
        <f t="shared" si="43"/>
        <v>0</v>
      </c>
      <c r="AJ24" s="394">
        <f t="shared" si="28"/>
        <v>0</v>
      </c>
      <c r="AK24" s="394">
        <f t="shared" si="28"/>
        <v>0</v>
      </c>
      <c r="AL24" s="395">
        <f t="shared" si="10"/>
        <v>0</v>
      </c>
      <c r="AN24" s="396">
        <f t="shared" si="11"/>
        <v>0</v>
      </c>
      <c r="AQ24" s="366">
        <f t="shared" si="29"/>
        <v>2025</v>
      </c>
      <c r="AR24" s="393">
        <f t="shared" si="12"/>
        <v>0</v>
      </c>
      <c r="AS24" s="393">
        <f t="shared" si="13"/>
        <v>0</v>
      </c>
      <c r="AT24" s="397">
        <f t="shared" si="14"/>
        <v>3.4000000000000002E-2</v>
      </c>
      <c r="AU24" s="398">
        <f t="shared" si="47"/>
        <v>0</v>
      </c>
      <c r="AV24" s="387">
        <f t="shared" si="15"/>
        <v>0.44900000000000001</v>
      </c>
      <c r="AW24" s="393">
        <f t="shared" si="16"/>
        <v>0</v>
      </c>
      <c r="AX24" s="397"/>
      <c r="AY24" s="399"/>
      <c r="AZ24" s="393">
        <f t="shared" si="30"/>
        <v>0</v>
      </c>
      <c r="BA24" s="381"/>
      <c r="BB24" s="393">
        <v>0</v>
      </c>
      <c r="BC24" s="393">
        <v>0</v>
      </c>
      <c r="BD24" s="400">
        <f t="shared" si="31"/>
        <v>0</v>
      </c>
      <c r="BE24" s="393">
        <f t="shared" si="17"/>
        <v>0</v>
      </c>
      <c r="BH24" s="366">
        <f t="shared" si="32"/>
        <v>2025</v>
      </c>
      <c r="BI24" s="393">
        <v>0</v>
      </c>
      <c r="BJ24" s="369">
        <f t="shared" si="18"/>
        <v>0</v>
      </c>
      <c r="BK24" s="401">
        <f t="shared" si="19"/>
        <v>8.0739999999999998</v>
      </c>
      <c r="BL24" s="393">
        <f t="shared" si="44"/>
        <v>0</v>
      </c>
      <c r="BM24" s="401">
        <f t="shared" si="20"/>
        <v>0.19700000000000001</v>
      </c>
      <c r="BN24" s="398">
        <f t="shared" si="48"/>
        <v>0</v>
      </c>
      <c r="BO24" s="402"/>
      <c r="BP24" s="393">
        <f t="shared" si="21"/>
        <v>0</v>
      </c>
      <c r="BR24" s="393">
        <f t="shared" si="49"/>
        <v>0</v>
      </c>
      <c r="BS24" s="393"/>
      <c r="BT24" s="393">
        <f t="shared" si="33"/>
        <v>0</v>
      </c>
      <c r="BW24" s="366">
        <f t="shared" si="34"/>
        <v>2025</v>
      </c>
      <c r="BX24" s="393">
        <f t="shared" si="22"/>
        <v>0</v>
      </c>
      <c r="BY24" s="369">
        <f t="shared" si="35"/>
        <v>0</v>
      </c>
      <c r="BZ24" s="403">
        <f t="shared" si="36"/>
        <v>0</v>
      </c>
      <c r="CA24" s="393">
        <f t="shared" si="37"/>
        <v>0</v>
      </c>
      <c r="CC24" s="393">
        <f t="shared" si="38"/>
        <v>0</v>
      </c>
      <c r="CD24" s="393">
        <f t="shared" si="38"/>
        <v>0</v>
      </c>
      <c r="CE24" s="393">
        <f t="shared" si="39"/>
        <v>0</v>
      </c>
      <c r="CF24" s="393"/>
      <c r="CG24" s="393">
        <f t="shared" si="45"/>
        <v>0</v>
      </c>
      <c r="DB24" s="333">
        <f>$J17</f>
        <v>4</v>
      </c>
    </row>
    <row r="25" spans="1:106">
      <c r="A25" s="187" t="s">
        <v>106</v>
      </c>
      <c r="C25" s="356">
        <f>+'Gas Input Table Summary'!$E$17</f>
        <v>0</v>
      </c>
      <c r="E25" s="193" t="s">
        <v>102</v>
      </c>
      <c r="F25" s="197">
        <v>0</v>
      </c>
      <c r="G25" s="197"/>
      <c r="H25" s="197"/>
      <c r="J25" s="333">
        <f t="shared" si="23"/>
        <v>12</v>
      </c>
      <c r="L25" s="366">
        <f t="shared" si="24"/>
        <v>2026</v>
      </c>
      <c r="M25" s="386">
        <f t="shared" si="46"/>
        <v>0</v>
      </c>
      <c r="N25" s="387">
        <f t="shared" si="40"/>
        <v>3.762</v>
      </c>
      <c r="O25" s="388">
        <f t="shared" si="0"/>
        <v>0</v>
      </c>
      <c r="P25" s="387">
        <f t="shared" si="1"/>
        <v>0</v>
      </c>
      <c r="Q25" s="389">
        <f t="shared" si="25"/>
        <v>0</v>
      </c>
      <c r="R25" s="390">
        <f t="shared" si="2"/>
        <v>0</v>
      </c>
      <c r="S25" s="372">
        <f t="shared" si="3"/>
        <v>0</v>
      </c>
      <c r="T25" s="389">
        <f t="shared" si="41"/>
        <v>159</v>
      </c>
      <c r="U25" s="391">
        <f t="shared" si="42"/>
        <v>0</v>
      </c>
      <c r="V25" s="386">
        <f t="shared" si="26"/>
        <v>0</v>
      </c>
      <c r="W25" s="392">
        <f t="shared" si="4"/>
        <v>1.9670000000000001</v>
      </c>
      <c r="X25" s="393">
        <f t="shared" si="5"/>
        <v>0</v>
      </c>
      <c r="Y25" s="393">
        <v>0</v>
      </c>
      <c r="Z25" s="393">
        <v>0</v>
      </c>
      <c r="AA25" s="389">
        <f t="shared" si="6"/>
        <v>0</v>
      </c>
      <c r="AB25" s="393">
        <f t="shared" si="7"/>
        <v>0</v>
      </c>
      <c r="AE25" s="366">
        <f t="shared" si="27"/>
        <v>2026</v>
      </c>
      <c r="AF25" s="393">
        <f t="shared" si="8"/>
        <v>0</v>
      </c>
      <c r="AG25" s="368">
        <f t="shared" si="9"/>
        <v>0</v>
      </c>
      <c r="AH25" s="393">
        <f t="shared" si="43"/>
        <v>0</v>
      </c>
      <c r="AJ25" s="394">
        <f t="shared" si="28"/>
        <v>0</v>
      </c>
      <c r="AK25" s="394">
        <f t="shared" si="28"/>
        <v>0</v>
      </c>
      <c r="AL25" s="395">
        <f t="shared" si="10"/>
        <v>0</v>
      </c>
      <c r="AN25" s="396">
        <f t="shared" si="11"/>
        <v>0</v>
      </c>
      <c r="AQ25" s="366">
        <f t="shared" si="29"/>
        <v>2026</v>
      </c>
      <c r="AR25" s="393">
        <f t="shared" si="12"/>
        <v>0</v>
      </c>
      <c r="AS25" s="393">
        <f t="shared" si="13"/>
        <v>0</v>
      </c>
      <c r="AT25" s="397">
        <f t="shared" si="14"/>
        <v>3.5000000000000003E-2</v>
      </c>
      <c r="AU25" s="398">
        <f t="shared" si="47"/>
        <v>0</v>
      </c>
      <c r="AV25" s="387">
        <f t="shared" si="15"/>
        <v>0.46</v>
      </c>
      <c r="AW25" s="393">
        <f t="shared" si="16"/>
        <v>0</v>
      </c>
      <c r="AX25" s="397"/>
      <c r="AY25" s="399"/>
      <c r="AZ25" s="393">
        <f t="shared" si="30"/>
        <v>0</v>
      </c>
      <c r="BA25" s="381"/>
      <c r="BB25" s="393">
        <v>0</v>
      </c>
      <c r="BC25" s="393">
        <v>0</v>
      </c>
      <c r="BD25" s="400">
        <f t="shared" si="31"/>
        <v>0</v>
      </c>
      <c r="BE25" s="393">
        <f t="shared" si="17"/>
        <v>0</v>
      </c>
      <c r="BH25" s="366">
        <f t="shared" si="32"/>
        <v>2026</v>
      </c>
      <c r="BI25" s="393">
        <v>0</v>
      </c>
      <c r="BJ25" s="369">
        <f t="shared" si="18"/>
        <v>0</v>
      </c>
      <c r="BK25" s="401">
        <f t="shared" si="19"/>
        <v>8.3559999999999999</v>
      </c>
      <c r="BL25" s="393">
        <f t="shared" si="44"/>
        <v>0</v>
      </c>
      <c r="BM25" s="401">
        <f t="shared" si="20"/>
        <v>0.20399999999999999</v>
      </c>
      <c r="BN25" s="398">
        <f t="shared" si="48"/>
        <v>0</v>
      </c>
      <c r="BO25" s="402"/>
      <c r="BP25" s="393">
        <f t="shared" si="21"/>
        <v>0</v>
      </c>
      <c r="BR25" s="393">
        <f t="shared" si="49"/>
        <v>0</v>
      </c>
      <c r="BS25" s="393"/>
      <c r="BT25" s="393">
        <f t="shared" si="33"/>
        <v>0</v>
      </c>
      <c r="BW25" s="366">
        <f t="shared" si="34"/>
        <v>2026</v>
      </c>
      <c r="BX25" s="393">
        <f t="shared" si="22"/>
        <v>0</v>
      </c>
      <c r="BY25" s="369">
        <f t="shared" si="35"/>
        <v>0</v>
      </c>
      <c r="BZ25" s="403">
        <f t="shared" si="36"/>
        <v>0</v>
      </c>
      <c r="CA25" s="393">
        <f t="shared" si="37"/>
        <v>0</v>
      </c>
      <c r="CC25" s="393">
        <f t="shared" si="38"/>
        <v>0</v>
      </c>
      <c r="CD25" s="393">
        <f t="shared" si="38"/>
        <v>0</v>
      </c>
      <c r="CE25" s="393">
        <f t="shared" si="39"/>
        <v>0</v>
      </c>
      <c r="CF25" s="393"/>
      <c r="CG25" s="393">
        <f t="shared" si="45"/>
        <v>0</v>
      </c>
      <c r="DB25" s="333"/>
    </row>
    <row r="26" spans="1:106">
      <c r="A26" s="185" t="s">
        <v>18</v>
      </c>
      <c r="C26" s="358">
        <f>+'Gas Input Table Summary'!$E$18</f>
        <v>0</v>
      </c>
      <c r="F26" s="368"/>
      <c r="G26" s="368"/>
      <c r="H26" s="368"/>
      <c r="J26" s="333">
        <f t="shared" si="23"/>
        <v>13</v>
      </c>
      <c r="L26" s="366">
        <f t="shared" si="24"/>
        <v>2027</v>
      </c>
      <c r="M26" s="386">
        <f t="shared" si="46"/>
        <v>0</v>
      </c>
      <c r="N26" s="387">
        <f t="shared" si="40"/>
        <v>3.8940000000000001</v>
      </c>
      <c r="O26" s="388">
        <f t="shared" si="0"/>
        <v>0</v>
      </c>
      <c r="P26" s="387">
        <f t="shared" si="1"/>
        <v>0</v>
      </c>
      <c r="Q26" s="389">
        <f t="shared" si="25"/>
        <v>0</v>
      </c>
      <c r="R26" s="390">
        <f t="shared" si="2"/>
        <v>0</v>
      </c>
      <c r="S26" s="372">
        <f t="shared" si="3"/>
        <v>0</v>
      </c>
      <c r="T26" s="389">
        <f t="shared" si="41"/>
        <v>160</v>
      </c>
      <c r="U26" s="391">
        <f t="shared" si="42"/>
        <v>0</v>
      </c>
      <c r="V26" s="386">
        <f t="shared" si="26"/>
        <v>0</v>
      </c>
      <c r="W26" s="392">
        <f t="shared" si="4"/>
        <v>2.036</v>
      </c>
      <c r="X26" s="393">
        <f t="shared" si="5"/>
        <v>0</v>
      </c>
      <c r="Y26" s="393">
        <v>0</v>
      </c>
      <c r="Z26" s="393">
        <v>0</v>
      </c>
      <c r="AA26" s="389">
        <f t="shared" si="6"/>
        <v>0</v>
      </c>
      <c r="AB26" s="393">
        <f t="shared" si="7"/>
        <v>0</v>
      </c>
      <c r="AE26" s="366">
        <f t="shared" si="27"/>
        <v>2027</v>
      </c>
      <c r="AF26" s="393">
        <f t="shared" si="8"/>
        <v>0</v>
      </c>
      <c r="AG26" s="368">
        <f t="shared" si="9"/>
        <v>0</v>
      </c>
      <c r="AH26" s="393">
        <f t="shared" si="43"/>
        <v>0</v>
      </c>
      <c r="AJ26" s="394">
        <f t="shared" si="28"/>
        <v>0</v>
      </c>
      <c r="AK26" s="394">
        <f t="shared" si="28"/>
        <v>0</v>
      </c>
      <c r="AL26" s="395">
        <f t="shared" si="10"/>
        <v>0</v>
      </c>
      <c r="AN26" s="396">
        <f t="shared" si="11"/>
        <v>0</v>
      </c>
      <c r="AQ26" s="366">
        <f t="shared" si="29"/>
        <v>2027</v>
      </c>
      <c r="AR26" s="393">
        <f t="shared" si="12"/>
        <v>0</v>
      </c>
      <c r="AS26" s="393">
        <f t="shared" si="13"/>
        <v>0</v>
      </c>
      <c r="AT26" s="397">
        <f t="shared" si="14"/>
        <v>3.5999999999999997E-2</v>
      </c>
      <c r="AU26" s="398">
        <f t="shared" si="47"/>
        <v>0</v>
      </c>
      <c r="AV26" s="387">
        <f t="shared" si="15"/>
        <v>0.47</v>
      </c>
      <c r="AW26" s="393">
        <f t="shared" si="16"/>
        <v>0</v>
      </c>
      <c r="AX26" s="397"/>
      <c r="AY26" s="399"/>
      <c r="AZ26" s="393">
        <f t="shared" si="30"/>
        <v>0</v>
      </c>
      <c r="BA26" s="381"/>
      <c r="BB26" s="393">
        <v>0</v>
      </c>
      <c r="BC26" s="393">
        <v>0</v>
      </c>
      <c r="BD26" s="400">
        <f t="shared" si="31"/>
        <v>0</v>
      </c>
      <c r="BE26" s="393">
        <f t="shared" si="17"/>
        <v>0</v>
      </c>
      <c r="BH26" s="366">
        <f t="shared" si="32"/>
        <v>2027</v>
      </c>
      <c r="BI26" s="393">
        <v>0</v>
      </c>
      <c r="BJ26" s="369">
        <f t="shared" si="18"/>
        <v>0</v>
      </c>
      <c r="BK26" s="401">
        <f t="shared" si="19"/>
        <v>8.6489999999999991</v>
      </c>
      <c r="BL26" s="393">
        <f t="shared" si="44"/>
        <v>0</v>
      </c>
      <c r="BM26" s="401">
        <f t="shared" si="20"/>
        <v>0.21099999999999999</v>
      </c>
      <c r="BN26" s="398">
        <f t="shared" si="48"/>
        <v>0</v>
      </c>
      <c r="BO26" s="402"/>
      <c r="BP26" s="393">
        <f t="shared" si="21"/>
        <v>0</v>
      </c>
      <c r="BR26" s="393">
        <f t="shared" si="49"/>
        <v>0</v>
      </c>
      <c r="BS26" s="393"/>
      <c r="BT26" s="393">
        <f t="shared" si="33"/>
        <v>0</v>
      </c>
      <c r="BW26" s="366">
        <f t="shared" si="34"/>
        <v>2027</v>
      </c>
      <c r="BX26" s="393">
        <f t="shared" si="22"/>
        <v>0</v>
      </c>
      <c r="BY26" s="369">
        <f t="shared" si="35"/>
        <v>0</v>
      </c>
      <c r="BZ26" s="403">
        <f t="shared" si="36"/>
        <v>0</v>
      </c>
      <c r="CA26" s="393">
        <f t="shared" si="37"/>
        <v>0</v>
      </c>
      <c r="CC26" s="393">
        <f t="shared" si="38"/>
        <v>0</v>
      </c>
      <c r="CD26" s="393">
        <f t="shared" si="38"/>
        <v>0</v>
      </c>
      <c r="CE26" s="393">
        <f t="shared" si="39"/>
        <v>0</v>
      </c>
      <c r="CF26" s="393"/>
      <c r="CG26" s="393">
        <f t="shared" si="45"/>
        <v>0</v>
      </c>
      <c r="DB26" s="333"/>
    </row>
    <row r="27" spans="1:106">
      <c r="A27" s="185"/>
      <c r="C27" s="358"/>
      <c r="E27" s="185" t="s">
        <v>70</v>
      </c>
      <c r="F27" s="369">
        <f>+'Database Inputs'!H16</f>
        <v>732</v>
      </c>
      <c r="G27" s="369"/>
      <c r="H27" s="369"/>
      <c r="J27" s="333">
        <f t="shared" si="23"/>
        <v>14</v>
      </c>
      <c r="L27" s="366">
        <f t="shared" si="24"/>
        <v>2028</v>
      </c>
      <c r="M27" s="386">
        <f t="shared" si="46"/>
        <v>0</v>
      </c>
      <c r="N27" s="387">
        <f t="shared" si="40"/>
        <v>4.03</v>
      </c>
      <c r="O27" s="388">
        <f t="shared" si="0"/>
        <v>0</v>
      </c>
      <c r="P27" s="387">
        <f t="shared" si="1"/>
        <v>0</v>
      </c>
      <c r="Q27" s="389">
        <f t="shared" si="25"/>
        <v>0</v>
      </c>
      <c r="R27" s="390">
        <f t="shared" si="2"/>
        <v>0</v>
      </c>
      <c r="S27" s="372">
        <f t="shared" si="3"/>
        <v>0</v>
      </c>
      <c r="T27" s="389">
        <f t="shared" si="41"/>
        <v>162</v>
      </c>
      <c r="U27" s="391">
        <f t="shared" si="42"/>
        <v>0</v>
      </c>
      <c r="V27" s="386">
        <f t="shared" si="26"/>
        <v>0</v>
      </c>
      <c r="W27" s="392">
        <f t="shared" si="4"/>
        <v>2.1080000000000001</v>
      </c>
      <c r="X27" s="393">
        <f t="shared" si="5"/>
        <v>0</v>
      </c>
      <c r="Y27" s="393">
        <v>0</v>
      </c>
      <c r="Z27" s="393">
        <v>0</v>
      </c>
      <c r="AA27" s="389">
        <f t="shared" si="6"/>
        <v>0</v>
      </c>
      <c r="AB27" s="393">
        <f t="shared" si="7"/>
        <v>0</v>
      </c>
      <c r="AE27" s="366">
        <f t="shared" si="27"/>
        <v>2028</v>
      </c>
      <c r="AF27" s="393">
        <f t="shared" si="8"/>
        <v>0</v>
      </c>
      <c r="AG27" s="368">
        <f t="shared" si="9"/>
        <v>0</v>
      </c>
      <c r="AH27" s="393">
        <f t="shared" si="43"/>
        <v>0</v>
      </c>
      <c r="AJ27" s="394">
        <f t="shared" si="28"/>
        <v>0</v>
      </c>
      <c r="AK27" s="394">
        <f t="shared" si="28"/>
        <v>0</v>
      </c>
      <c r="AL27" s="395">
        <f t="shared" si="10"/>
        <v>0</v>
      </c>
      <c r="AN27" s="396">
        <f t="shared" si="11"/>
        <v>0</v>
      </c>
      <c r="AQ27" s="366">
        <f t="shared" si="29"/>
        <v>2028</v>
      </c>
      <c r="AR27" s="393">
        <f t="shared" si="12"/>
        <v>0</v>
      </c>
      <c r="AS27" s="393">
        <f t="shared" si="13"/>
        <v>0</v>
      </c>
      <c r="AT27" s="397">
        <f t="shared" si="14"/>
        <v>3.6999999999999998E-2</v>
      </c>
      <c r="AU27" s="398">
        <f t="shared" si="47"/>
        <v>0</v>
      </c>
      <c r="AV27" s="387">
        <f t="shared" si="15"/>
        <v>0.48099999999999998</v>
      </c>
      <c r="AW27" s="393">
        <f t="shared" si="16"/>
        <v>0</v>
      </c>
      <c r="AX27" s="397"/>
      <c r="AY27" s="399"/>
      <c r="AZ27" s="393">
        <f t="shared" si="30"/>
        <v>0</v>
      </c>
      <c r="BA27" s="381"/>
      <c r="BB27" s="393">
        <v>0</v>
      </c>
      <c r="BC27" s="393">
        <v>0</v>
      </c>
      <c r="BD27" s="400">
        <f t="shared" si="31"/>
        <v>0</v>
      </c>
      <c r="BE27" s="393">
        <f t="shared" si="17"/>
        <v>0</v>
      </c>
      <c r="BH27" s="366">
        <f t="shared" si="32"/>
        <v>2028</v>
      </c>
      <c r="BI27" s="393">
        <v>0</v>
      </c>
      <c r="BJ27" s="369">
        <f t="shared" si="18"/>
        <v>0</v>
      </c>
      <c r="BK27" s="401">
        <f t="shared" si="19"/>
        <v>8.9510000000000005</v>
      </c>
      <c r="BL27" s="393">
        <f t="shared" si="44"/>
        <v>0</v>
      </c>
      <c r="BM27" s="401">
        <f t="shared" si="20"/>
        <v>0.219</v>
      </c>
      <c r="BN27" s="398">
        <f t="shared" si="48"/>
        <v>0</v>
      </c>
      <c r="BO27" s="402"/>
      <c r="BP27" s="393">
        <f t="shared" si="21"/>
        <v>0</v>
      </c>
      <c r="BR27" s="393">
        <f t="shared" si="49"/>
        <v>0</v>
      </c>
      <c r="BS27" s="393"/>
      <c r="BT27" s="393">
        <f t="shared" si="33"/>
        <v>0</v>
      </c>
      <c r="BW27" s="366">
        <f t="shared" si="34"/>
        <v>2028</v>
      </c>
      <c r="BX27" s="393">
        <f t="shared" si="22"/>
        <v>0</v>
      </c>
      <c r="BY27" s="369">
        <f t="shared" si="35"/>
        <v>0</v>
      </c>
      <c r="BZ27" s="403">
        <f t="shared" si="36"/>
        <v>0</v>
      </c>
      <c r="CA27" s="393">
        <f t="shared" si="37"/>
        <v>0</v>
      </c>
      <c r="CC27" s="393">
        <f t="shared" si="38"/>
        <v>0</v>
      </c>
      <c r="CD27" s="393">
        <f t="shared" si="38"/>
        <v>0</v>
      </c>
      <c r="CE27" s="393">
        <f t="shared" si="39"/>
        <v>0</v>
      </c>
      <c r="CF27" s="393"/>
      <c r="CG27" s="393">
        <f t="shared" si="45"/>
        <v>0</v>
      </c>
      <c r="DB27" s="333"/>
    </row>
    <row r="28" spans="1:106">
      <c r="A28" s="185" t="s">
        <v>71</v>
      </c>
      <c r="C28" s="365">
        <f>+'Gas Input Table Summary'!$E$19</f>
        <v>2.18E-2</v>
      </c>
      <c r="E28" s="185" t="s">
        <v>72</v>
      </c>
      <c r="F28" s="369">
        <v>0</v>
      </c>
      <c r="G28" s="369"/>
      <c r="H28" s="369"/>
      <c r="J28" s="333">
        <f t="shared" si="23"/>
        <v>15</v>
      </c>
      <c r="L28" s="366">
        <f t="shared" si="24"/>
        <v>2029</v>
      </c>
      <c r="M28" s="386">
        <f t="shared" si="46"/>
        <v>0</v>
      </c>
      <c r="N28" s="387">
        <f t="shared" si="40"/>
        <v>4.1710000000000003</v>
      </c>
      <c r="O28" s="388">
        <f t="shared" si="0"/>
        <v>0</v>
      </c>
      <c r="P28" s="387">
        <f t="shared" si="1"/>
        <v>0</v>
      </c>
      <c r="Q28" s="389">
        <f t="shared" si="25"/>
        <v>0</v>
      </c>
      <c r="R28" s="390">
        <f t="shared" si="2"/>
        <v>0</v>
      </c>
      <c r="S28" s="372">
        <f t="shared" si="3"/>
        <v>0</v>
      </c>
      <c r="T28" s="389">
        <f t="shared" si="41"/>
        <v>163</v>
      </c>
      <c r="U28" s="391">
        <f t="shared" si="42"/>
        <v>0</v>
      </c>
      <c r="V28" s="386">
        <f t="shared" si="26"/>
        <v>0</v>
      </c>
      <c r="W28" s="392">
        <f t="shared" si="4"/>
        <v>2.181</v>
      </c>
      <c r="X28" s="393">
        <f t="shared" si="5"/>
        <v>0</v>
      </c>
      <c r="Y28" s="393">
        <v>0</v>
      </c>
      <c r="Z28" s="393">
        <v>0</v>
      </c>
      <c r="AA28" s="389">
        <f t="shared" si="6"/>
        <v>0</v>
      </c>
      <c r="AB28" s="393">
        <f t="shared" si="7"/>
        <v>0</v>
      </c>
      <c r="AE28" s="366">
        <f t="shared" si="27"/>
        <v>2029</v>
      </c>
      <c r="AF28" s="393">
        <f t="shared" si="8"/>
        <v>0</v>
      </c>
      <c r="AG28" s="368">
        <f t="shared" si="9"/>
        <v>0</v>
      </c>
      <c r="AH28" s="393">
        <f t="shared" si="43"/>
        <v>0</v>
      </c>
      <c r="AJ28" s="394">
        <f t="shared" si="28"/>
        <v>0</v>
      </c>
      <c r="AK28" s="394">
        <f t="shared" si="28"/>
        <v>0</v>
      </c>
      <c r="AL28" s="395">
        <f t="shared" si="10"/>
        <v>0</v>
      </c>
      <c r="AN28" s="396">
        <f t="shared" si="11"/>
        <v>0</v>
      </c>
      <c r="AQ28" s="366">
        <f t="shared" si="29"/>
        <v>2029</v>
      </c>
      <c r="AR28" s="393">
        <f t="shared" si="12"/>
        <v>0</v>
      </c>
      <c r="AS28" s="393">
        <f t="shared" si="13"/>
        <v>0</v>
      </c>
      <c r="AT28" s="397">
        <f t="shared" si="14"/>
        <v>3.7999999999999999E-2</v>
      </c>
      <c r="AU28" s="398">
        <f t="shared" si="47"/>
        <v>0</v>
      </c>
      <c r="AV28" s="387">
        <f t="shared" si="15"/>
        <v>0.49199999999999999</v>
      </c>
      <c r="AW28" s="393">
        <f t="shared" si="16"/>
        <v>0</v>
      </c>
      <c r="AX28" s="397"/>
      <c r="AY28" s="399"/>
      <c r="AZ28" s="393">
        <f t="shared" si="30"/>
        <v>0</v>
      </c>
      <c r="BA28" s="381"/>
      <c r="BB28" s="393">
        <v>0</v>
      </c>
      <c r="BC28" s="393">
        <v>0</v>
      </c>
      <c r="BD28" s="400">
        <f t="shared" si="31"/>
        <v>0</v>
      </c>
      <c r="BE28" s="393">
        <f t="shared" si="17"/>
        <v>0</v>
      </c>
      <c r="BH28" s="366">
        <f t="shared" si="32"/>
        <v>2029</v>
      </c>
      <c r="BI28" s="393">
        <v>0</v>
      </c>
      <c r="BJ28" s="369">
        <f t="shared" si="18"/>
        <v>0</v>
      </c>
      <c r="BK28" s="401">
        <f t="shared" si="19"/>
        <v>9.2650000000000006</v>
      </c>
      <c r="BL28" s="393">
        <f t="shared" si="44"/>
        <v>0</v>
      </c>
      <c r="BM28" s="401">
        <f t="shared" si="20"/>
        <v>0.22600000000000001</v>
      </c>
      <c r="BN28" s="398">
        <f t="shared" si="48"/>
        <v>0</v>
      </c>
      <c r="BO28" s="402"/>
      <c r="BP28" s="393">
        <f t="shared" si="21"/>
        <v>0</v>
      </c>
      <c r="BR28" s="393">
        <f t="shared" si="49"/>
        <v>0</v>
      </c>
      <c r="BS28" s="393"/>
      <c r="BT28" s="393">
        <f t="shared" si="33"/>
        <v>0</v>
      </c>
      <c r="BW28" s="366">
        <f t="shared" si="34"/>
        <v>2029</v>
      </c>
      <c r="BX28" s="393">
        <f t="shared" si="22"/>
        <v>0</v>
      </c>
      <c r="BY28" s="369">
        <f t="shared" si="35"/>
        <v>0</v>
      </c>
      <c r="BZ28" s="403">
        <f t="shared" si="36"/>
        <v>0</v>
      </c>
      <c r="CA28" s="393">
        <f t="shared" si="37"/>
        <v>0</v>
      </c>
      <c r="CC28" s="393">
        <f t="shared" si="38"/>
        <v>0</v>
      </c>
      <c r="CD28" s="393">
        <f t="shared" si="38"/>
        <v>0</v>
      </c>
      <c r="CE28" s="393">
        <f t="shared" si="39"/>
        <v>0</v>
      </c>
      <c r="CF28" s="393"/>
      <c r="CG28" s="393">
        <f t="shared" si="45"/>
        <v>0</v>
      </c>
      <c r="DB28" s="333"/>
    </row>
    <row r="29" spans="1:106">
      <c r="A29" s="185" t="s">
        <v>47</v>
      </c>
      <c r="C29" s="358">
        <f>+'Gas Input Table Summary'!$E$20</f>
        <v>3.5000000000000003E-2</v>
      </c>
      <c r="E29" s="185"/>
      <c r="F29" s="369"/>
      <c r="G29" s="369"/>
      <c r="H29" s="369"/>
      <c r="J29" s="333">
        <f t="shared" si="23"/>
        <v>16</v>
      </c>
      <c r="L29" s="366">
        <f t="shared" si="24"/>
        <v>2030</v>
      </c>
      <c r="M29" s="386">
        <f t="shared" si="46"/>
        <v>0</v>
      </c>
      <c r="N29" s="387">
        <f t="shared" si="40"/>
        <v>4.3170000000000002</v>
      </c>
      <c r="O29" s="388">
        <f t="shared" si="0"/>
        <v>0</v>
      </c>
      <c r="P29" s="387">
        <f t="shared" si="1"/>
        <v>0</v>
      </c>
      <c r="Q29" s="389">
        <f t="shared" si="25"/>
        <v>0</v>
      </c>
      <c r="R29" s="390">
        <f t="shared" si="2"/>
        <v>0</v>
      </c>
      <c r="S29" s="372">
        <f t="shared" si="3"/>
        <v>0</v>
      </c>
      <c r="T29" s="389">
        <f t="shared" si="41"/>
        <v>165</v>
      </c>
      <c r="U29" s="391">
        <f t="shared" si="42"/>
        <v>0</v>
      </c>
      <c r="V29" s="386">
        <f t="shared" si="26"/>
        <v>0</v>
      </c>
      <c r="W29" s="392">
        <f t="shared" si="4"/>
        <v>2.258</v>
      </c>
      <c r="X29" s="393">
        <f t="shared" si="5"/>
        <v>0</v>
      </c>
      <c r="Y29" s="409">
        <v>0</v>
      </c>
      <c r="Z29" s="409">
        <v>0</v>
      </c>
      <c r="AA29" s="410">
        <f t="shared" si="6"/>
        <v>0</v>
      </c>
      <c r="AB29" s="409">
        <f t="shared" si="7"/>
        <v>0</v>
      </c>
      <c r="AE29" s="366">
        <f t="shared" si="27"/>
        <v>2030</v>
      </c>
      <c r="AF29" s="393">
        <f t="shared" si="8"/>
        <v>0</v>
      </c>
      <c r="AG29" s="368">
        <f t="shared" si="9"/>
        <v>0</v>
      </c>
      <c r="AH29" s="393">
        <f t="shared" si="43"/>
        <v>0</v>
      </c>
      <c r="AJ29" s="394">
        <f t="shared" si="28"/>
        <v>0</v>
      </c>
      <c r="AK29" s="394">
        <f t="shared" si="28"/>
        <v>0</v>
      </c>
      <c r="AL29" s="395">
        <f t="shared" si="10"/>
        <v>0</v>
      </c>
      <c r="AN29" s="396">
        <f t="shared" si="11"/>
        <v>0</v>
      </c>
      <c r="AQ29" s="366">
        <f t="shared" si="29"/>
        <v>2030</v>
      </c>
      <c r="AR29" s="409">
        <f t="shared" si="12"/>
        <v>0</v>
      </c>
      <c r="AS29" s="393">
        <f t="shared" si="13"/>
        <v>0</v>
      </c>
      <c r="AT29" s="397">
        <f t="shared" si="14"/>
        <v>0.04</v>
      </c>
      <c r="AU29" s="398">
        <f t="shared" si="47"/>
        <v>0</v>
      </c>
      <c r="AV29" s="387">
        <f t="shared" si="15"/>
        <v>0.504</v>
      </c>
      <c r="AW29" s="393">
        <f t="shared" si="16"/>
        <v>0</v>
      </c>
      <c r="AX29" s="397"/>
      <c r="AY29" s="399"/>
      <c r="AZ29" s="409">
        <f t="shared" si="30"/>
        <v>0</v>
      </c>
      <c r="BA29" s="381"/>
      <c r="BB29" s="409">
        <v>0</v>
      </c>
      <c r="BC29" s="393">
        <v>0</v>
      </c>
      <c r="BD29" s="400">
        <f t="shared" si="31"/>
        <v>0</v>
      </c>
      <c r="BE29" s="409">
        <f t="shared" si="17"/>
        <v>0</v>
      </c>
      <c r="BH29" s="366">
        <f t="shared" si="32"/>
        <v>2030</v>
      </c>
      <c r="BI29" s="393">
        <v>0</v>
      </c>
      <c r="BJ29" s="369">
        <f t="shared" si="18"/>
        <v>0</v>
      </c>
      <c r="BK29" s="401">
        <f t="shared" si="19"/>
        <v>9.5890000000000004</v>
      </c>
      <c r="BL29" s="393">
        <f t="shared" si="44"/>
        <v>0</v>
      </c>
      <c r="BM29" s="401">
        <f t="shared" si="20"/>
        <v>0.23400000000000001</v>
      </c>
      <c r="BN29" s="398">
        <f t="shared" si="48"/>
        <v>0</v>
      </c>
      <c r="BO29" s="402"/>
      <c r="BP29" s="393">
        <f t="shared" si="21"/>
        <v>0</v>
      </c>
      <c r="BR29" s="393">
        <f t="shared" si="49"/>
        <v>0</v>
      </c>
      <c r="BS29" s="393"/>
      <c r="BT29" s="393">
        <f t="shared" si="33"/>
        <v>0</v>
      </c>
      <c r="BW29" s="366">
        <f t="shared" si="34"/>
        <v>2030</v>
      </c>
      <c r="BX29" s="393">
        <f t="shared" si="22"/>
        <v>0</v>
      </c>
      <c r="BY29" s="369">
        <f t="shared" si="35"/>
        <v>0</v>
      </c>
      <c r="BZ29" s="403">
        <f t="shared" si="36"/>
        <v>0</v>
      </c>
      <c r="CA29" s="393">
        <f t="shared" si="37"/>
        <v>0</v>
      </c>
      <c r="CC29" s="393">
        <f t="shared" si="38"/>
        <v>0</v>
      </c>
      <c r="CD29" s="393">
        <f t="shared" si="38"/>
        <v>0</v>
      </c>
      <c r="CE29" s="393">
        <f t="shared" si="39"/>
        <v>0</v>
      </c>
      <c r="CF29" s="393"/>
      <c r="CG29" s="393">
        <f t="shared" si="45"/>
        <v>0</v>
      </c>
      <c r="DB29" s="333"/>
    </row>
    <row r="30" spans="1:106">
      <c r="E30" s="185" t="s">
        <v>73</v>
      </c>
      <c r="F30" s="196">
        <f>+'Total Program Inputs'!C17</f>
        <v>0</v>
      </c>
      <c r="G30" s="196"/>
      <c r="H30" s="196"/>
      <c r="J30" s="333">
        <f t="shared" si="23"/>
        <v>17</v>
      </c>
      <c r="L30" s="366">
        <f t="shared" si="24"/>
        <v>2031</v>
      </c>
      <c r="M30" s="386">
        <f t="shared" si="46"/>
        <v>0</v>
      </c>
      <c r="N30" s="387">
        <f t="shared" si="40"/>
        <v>4.468</v>
      </c>
      <c r="O30" s="388">
        <f t="shared" si="0"/>
        <v>0</v>
      </c>
      <c r="P30" s="387">
        <f t="shared" si="1"/>
        <v>0</v>
      </c>
      <c r="Q30" s="389">
        <f t="shared" si="25"/>
        <v>0</v>
      </c>
      <c r="R30" s="390">
        <f t="shared" si="2"/>
        <v>0</v>
      </c>
      <c r="S30" s="372">
        <f t="shared" si="3"/>
        <v>0</v>
      </c>
      <c r="T30" s="389">
        <f t="shared" si="41"/>
        <v>167</v>
      </c>
      <c r="U30" s="391">
        <f t="shared" si="42"/>
        <v>0</v>
      </c>
      <c r="V30" s="386">
        <f t="shared" si="26"/>
        <v>0</v>
      </c>
      <c r="W30" s="392">
        <f t="shared" si="4"/>
        <v>2.3370000000000002</v>
      </c>
      <c r="X30" s="393">
        <f t="shared" si="5"/>
        <v>0</v>
      </c>
      <c r="Y30" s="409">
        <v>0</v>
      </c>
      <c r="Z30" s="409">
        <v>0</v>
      </c>
      <c r="AA30" s="410">
        <f t="shared" si="6"/>
        <v>0</v>
      </c>
      <c r="AB30" s="409">
        <f t="shared" si="7"/>
        <v>0</v>
      </c>
      <c r="AE30" s="366">
        <f t="shared" si="27"/>
        <v>2031</v>
      </c>
      <c r="AF30" s="393">
        <f t="shared" si="8"/>
        <v>0</v>
      </c>
      <c r="AG30" s="368">
        <f t="shared" si="9"/>
        <v>0</v>
      </c>
      <c r="AH30" s="393">
        <f t="shared" si="43"/>
        <v>0</v>
      </c>
      <c r="AJ30" s="394">
        <f t="shared" si="28"/>
        <v>0</v>
      </c>
      <c r="AK30" s="394">
        <f t="shared" si="28"/>
        <v>0</v>
      </c>
      <c r="AL30" s="395">
        <f t="shared" si="10"/>
        <v>0</v>
      </c>
      <c r="AN30" s="396">
        <f t="shared" si="11"/>
        <v>0</v>
      </c>
      <c r="AQ30" s="366">
        <f t="shared" si="29"/>
        <v>2031</v>
      </c>
      <c r="AR30" s="409">
        <f t="shared" si="12"/>
        <v>0</v>
      </c>
      <c r="AS30" s="393">
        <f t="shared" si="13"/>
        <v>0</v>
      </c>
      <c r="AT30" s="397">
        <f t="shared" si="14"/>
        <v>4.1000000000000002E-2</v>
      </c>
      <c r="AU30" s="398">
        <f t="shared" si="47"/>
        <v>0</v>
      </c>
      <c r="AV30" s="387">
        <f t="shared" si="15"/>
        <v>0.51500000000000001</v>
      </c>
      <c r="AW30" s="393">
        <f t="shared" si="16"/>
        <v>0</v>
      </c>
      <c r="AX30" s="397"/>
      <c r="AY30" s="399"/>
      <c r="AZ30" s="409">
        <f t="shared" si="30"/>
        <v>0</v>
      </c>
      <c r="BA30" s="381"/>
      <c r="BB30" s="409">
        <v>0</v>
      </c>
      <c r="BC30" s="393">
        <v>0</v>
      </c>
      <c r="BD30" s="400">
        <f t="shared" si="31"/>
        <v>0</v>
      </c>
      <c r="BE30" s="409">
        <f t="shared" si="17"/>
        <v>0</v>
      </c>
      <c r="BH30" s="366">
        <f t="shared" si="32"/>
        <v>2031</v>
      </c>
      <c r="BI30" s="393">
        <v>0</v>
      </c>
      <c r="BJ30" s="369">
        <f t="shared" si="18"/>
        <v>0</v>
      </c>
      <c r="BK30" s="401">
        <f t="shared" si="19"/>
        <v>9.9250000000000007</v>
      </c>
      <c r="BL30" s="393">
        <f t="shared" si="44"/>
        <v>0</v>
      </c>
      <c r="BM30" s="401">
        <f t="shared" si="20"/>
        <v>0.24199999999999999</v>
      </c>
      <c r="BN30" s="398">
        <f t="shared" si="48"/>
        <v>0</v>
      </c>
      <c r="BO30" s="402"/>
      <c r="BP30" s="393">
        <f t="shared" si="21"/>
        <v>0</v>
      </c>
      <c r="BR30" s="393">
        <f t="shared" si="49"/>
        <v>0</v>
      </c>
      <c r="BS30" s="393"/>
      <c r="BT30" s="393">
        <f t="shared" si="33"/>
        <v>0</v>
      </c>
      <c r="BW30" s="366">
        <f t="shared" si="34"/>
        <v>2031</v>
      </c>
      <c r="BX30" s="393">
        <f t="shared" si="22"/>
        <v>0</v>
      </c>
      <c r="BY30" s="369">
        <f t="shared" si="35"/>
        <v>0</v>
      </c>
      <c r="BZ30" s="403">
        <f t="shared" si="36"/>
        <v>0</v>
      </c>
      <c r="CA30" s="393">
        <f t="shared" si="37"/>
        <v>0</v>
      </c>
      <c r="CC30" s="393">
        <f t="shared" si="38"/>
        <v>0</v>
      </c>
      <c r="CD30" s="393">
        <f t="shared" si="38"/>
        <v>0</v>
      </c>
      <c r="CE30" s="393">
        <f t="shared" si="39"/>
        <v>0</v>
      </c>
      <c r="CF30" s="393"/>
      <c r="CG30" s="393">
        <f t="shared" si="45"/>
        <v>0</v>
      </c>
      <c r="DB30" s="333">
        <f>$J18</f>
        <v>5</v>
      </c>
    </row>
    <row r="31" spans="1:106">
      <c r="A31" s="187" t="s">
        <v>74</v>
      </c>
      <c r="C31" s="361">
        <f>+'Gas Input Table Summary'!$E$21</f>
        <v>5.0999999999999997E-2</v>
      </c>
      <c r="F31" s="368"/>
      <c r="G31" s="368"/>
      <c r="H31" s="368"/>
      <c r="J31" s="333">
        <f t="shared" si="23"/>
        <v>18</v>
      </c>
      <c r="L31" s="366">
        <f t="shared" si="24"/>
        <v>2032</v>
      </c>
      <c r="M31" s="386">
        <f t="shared" si="46"/>
        <v>0</v>
      </c>
      <c r="N31" s="387">
        <f t="shared" si="40"/>
        <v>4.625</v>
      </c>
      <c r="O31" s="388">
        <f t="shared" si="0"/>
        <v>0</v>
      </c>
      <c r="P31" s="387">
        <f t="shared" si="1"/>
        <v>0</v>
      </c>
      <c r="Q31" s="389">
        <f t="shared" si="25"/>
        <v>0</v>
      </c>
      <c r="R31" s="390">
        <f t="shared" si="2"/>
        <v>0</v>
      </c>
      <c r="S31" s="372">
        <f t="shared" si="3"/>
        <v>0</v>
      </c>
      <c r="T31" s="389">
        <f t="shared" si="41"/>
        <v>168</v>
      </c>
      <c r="U31" s="391">
        <f t="shared" si="42"/>
        <v>0</v>
      </c>
      <c r="V31" s="386">
        <f t="shared" si="26"/>
        <v>0</v>
      </c>
      <c r="W31" s="392">
        <f t="shared" si="4"/>
        <v>2.4180000000000001</v>
      </c>
      <c r="X31" s="393">
        <f t="shared" si="5"/>
        <v>0</v>
      </c>
      <c r="Y31" s="409">
        <v>0</v>
      </c>
      <c r="Z31" s="409">
        <v>0</v>
      </c>
      <c r="AA31" s="410">
        <f t="shared" si="6"/>
        <v>0</v>
      </c>
      <c r="AB31" s="409">
        <f t="shared" si="7"/>
        <v>0</v>
      </c>
      <c r="AE31" s="366">
        <f t="shared" si="27"/>
        <v>2032</v>
      </c>
      <c r="AF31" s="393">
        <f t="shared" si="8"/>
        <v>0</v>
      </c>
      <c r="AG31" s="368">
        <f t="shared" si="9"/>
        <v>0</v>
      </c>
      <c r="AH31" s="393">
        <f t="shared" si="43"/>
        <v>0</v>
      </c>
      <c r="AJ31" s="394">
        <f t="shared" si="28"/>
        <v>0</v>
      </c>
      <c r="AK31" s="394">
        <f t="shared" si="28"/>
        <v>0</v>
      </c>
      <c r="AL31" s="395">
        <f t="shared" si="10"/>
        <v>0</v>
      </c>
      <c r="AN31" s="396">
        <f t="shared" si="11"/>
        <v>0</v>
      </c>
      <c r="AQ31" s="366">
        <f t="shared" si="29"/>
        <v>2032</v>
      </c>
      <c r="AR31" s="409">
        <f t="shared" si="12"/>
        <v>0</v>
      </c>
      <c r="AS31" s="393">
        <f t="shared" si="13"/>
        <v>0</v>
      </c>
      <c r="AT31" s="397">
        <f t="shared" si="14"/>
        <v>4.2999999999999997E-2</v>
      </c>
      <c r="AU31" s="398">
        <f t="shared" si="47"/>
        <v>0</v>
      </c>
      <c r="AV31" s="387">
        <f t="shared" si="15"/>
        <v>0.52700000000000002</v>
      </c>
      <c r="AW31" s="393">
        <f t="shared" si="16"/>
        <v>0</v>
      </c>
      <c r="AX31" s="397"/>
      <c r="AY31" s="399"/>
      <c r="AZ31" s="409">
        <f t="shared" si="30"/>
        <v>0</v>
      </c>
      <c r="BA31" s="381"/>
      <c r="BB31" s="409">
        <v>0</v>
      </c>
      <c r="BC31" s="393">
        <v>0</v>
      </c>
      <c r="BD31" s="400">
        <f t="shared" si="31"/>
        <v>0</v>
      </c>
      <c r="BE31" s="409">
        <f t="shared" si="17"/>
        <v>0</v>
      </c>
      <c r="BH31" s="366">
        <f t="shared" si="32"/>
        <v>2032</v>
      </c>
      <c r="BI31" s="393">
        <v>0</v>
      </c>
      <c r="BJ31" s="369">
        <f t="shared" si="18"/>
        <v>0</v>
      </c>
      <c r="BK31" s="401">
        <f t="shared" si="19"/>
        <v>10.272</v>
      </c>
      <c r="BL31" s="393">
        <f t="shared" si="44"/>
        <v>0</v>
      </c>
      <c r="BM31" s="401">
        <f t="shared" si="20"/>
        <v>0.251</v>
      </c>
      <c r="BN31" s="398">
        <f t="shared" si="48"/>
        <v>0</v>
      </c>
      <c r="BO31" s="402"/>
      <c r="BP31" s="393">
        <f t="shared" si="21"/>
        <v>0</v>
      </c>
      <c r="BR31" s="393">
        <f t="shared" si="49"/>
        <v>0</v>
      </c>
      <c r="BS31" s="393"/>
      <c r="BT31" s="393">
        <f t="shared" si="33"/>
        <v>0</v>
      </c>
      <c r="BW31" s="366">
        <f t="shared" si="34"/>
        <v>2032</v>
      </c>
      <c r="BX31" s="393">
        <f t="shared" si="22"/>
        <v>0</v>
      </c>
      <c r="BY31" s="369">
        <f t="shared" si="35"/>
        <v>0</v>
      </c>
      <c r="BZ31" s="403">
        <f t="shared" si="36"/>
        <v>0</v>
      </c>
      <c r="CA31" s="393">
        <f t="shared" si="37"/>
        <v>0</v>
      </c>
      <c r="CC31" s="393">
        <f t="shared" si="38"/>
        <v>0</v>
      </c>
      <c r="CD31" s="393">
        <f t="shared" si="38"/>
        <v>0</v>
      </c>
      <c r="CE31" s="393">
        <f t="shared" si="39"/>
        <v>0</v>
      </c>
      <c r="CF31" s="393"/>
      <c r="CG31" s="393">
        <f t="shared" si="45"/>
        <v>0</v>
      </c>
      <c r="DB31" s="333">
        <f>$J19</f>
        <v>6</v>
      </c>
    </row>
    <row r="32" spans="1:106">
      <c r="E32" s="193" t="s">
        <v>103</v>
      </c>
      <c r="F32" s="411">
        <f>+'Total Program Inputs'!E17</f>
        <v>0</v>
      </c>
      <c r="G32" s="408"/>
      <c r="H32" s="408"/>
      <c r="J32" s="333">
        <f t="shared" si="23"/>
        <v>19</v>
      </c>
      <c r="L32" s="366">
        <f t="shared" si="24"/>
        <v>2033</v>
      </c>
      <c r="M32" s="386">
        <f t="shared" si="46"/>
        <v>0</v>
      </c>
      <c r="N32" s="387">
        <f t="shared" si="40"/>
        <v>4.7869999999999999</v>
      </c>
      <c r="O32" s="388">
        <f t="shared" si="0"/>
        <v>0</v>
      </c>
      <c r="P32" s="387">
        <f t="shared" si="1"/>
        <v>0</v>
      </c>
      <c r="Q32" s="389">
        <f t="shared" si="25"/>
        <v>0</v>
      </c>
      <c r="R32" s="390">
        <f t="shared" si="2"/>
        <v>0</v>
      </c>
      <c r="S32" s="372">
        <f t="shared" si="3"/>
        <v>0</v>
      </c>
      <c r="T32" s="389">
        <f t="shared" si="41"/>
        <v>170</v>
      </c>
      <c r="U32" s="391">
        <f t="shared" si="42"/>
        <v>0</v>
      </c>
      <c r="V32" s="386">
        <f t="shared" si="26"/>
        <v>0</v>
      </c>
      <c r="W32" s="392">
        <f t="shared" si="4"/>
        <v>2.5030000000000001</v>
      </c>
      <c r="X32" s="393">
        <f t="shared" si="5"/>
        <v>0</v>
      </c>
      <c r="Y32" s="409">
        <v>0</v>
      </c>
      <c r="Z32" s="409">
        <v>0</v>
      </c>
      <c r="AA32" s="410">
        <f t="shared" si="6"/>
        <v>0</v>
      </c>
      <c r="AB32" s="409">
        <f t="shared" si="7"/>
        <v>0</v>
      </c>
      <c r="AE32" s="366">
        <f t="shared" si="27"/>
        <v>2033</v>
      </c>
      <c r="AF32" s="393">
        <f t="shared" si="8"/>
        <v>0</v>
      </c>
      <c r="AG32" s="368">
        <f t="shared" si="9"/>
        <v>0</v>
      </c>
      <c r="AH32" s="393">
        <f t="shared" si="43"/>
        <v>0</v>
      </c>
      <c r="AJ32" s="394">
        <f t="shared" si="28"/>
        <v>0</v>
      </c>
      <c r="AK32" s="394">
        <f t="shared" si="28"/>
        <v>0</v>
      </c>
      <c r="AL32" s="395">
        <f t="shared" si="10"/>
        <v>0</v>
      </c>
      <c r="AN32" s="396">
        <f t="shared" si="11"/>
        <v>0</v>
      </c>
      <c r="AQ32" s="366">
        <f t="shared" si="29"/>
        <v>2033</v>
      </c>
      <c r="AR32" s="409">
        <f t="shared" si="12"/>
        <v>0</v>
      </c>
      <c r="AS32" s="393">
        <f t="shared" si="13"/>
        <v>0</v>
      </c>
      <c r="AT32" s="397">
        <f t="shared" si="14"/>
        <v>4.3999999999999997E-2</v>
      </c>
      <c r="AU32" s="398">
        <f t="shared" si="47"/>
        <v>0</v>
      </c>
      <c r="AV32" s="387">
        <f t="shared" si="15"/>
        <v>0.53900000000000003</v>
      </c>
      <c r="AW32" s="393">
        <f t="shared" si="16"/>
        <v>0</v>
      </c>
      <c r="AX32" s="397"/>
      <c r="AY32" s="399"/>
      <c r="AZ32" s="409">
        <f t="shared" si="30"/>
        <v>0</v>
      </c>
      <c r="BA32" s="381"/>
      <c r="BB32" s="409">
        <v>0</v>
      </c>
      <c r="BC32" s="393">
        <v>0</v>
      </c>
      <c r="BD32" s="400">
        <f t="shared" si="31"/>
        <v>0</v>
      </c>
      <c r="BE32" s="409">
        <f t="shared" si="17"/>
        <v>0</v>
      </c>
      <c r="BH32" s="366">
        <f t="shared" si="32"/>
        <v>2033</v>
      </c>
      <c r="BI32" s="393">
        <v>0</v>
      </c>
      <c r="BJ32" s="369">
        <f t="shared" si="18"/>
        <v>0</v>
      </c>
      <c r="BK32" s="401">
        <f t="shared" si="19"/>
        <v>10.631</v>
      </c>
      <c r="BL32" s="393">
        <f t="shared" si="44"/>
        <v>0</v>
      </c>
      <c r="BM32" s="401">
        <f t="shared" si="20"/>
        <v>0.26</v>
      </c>
      <c r="BN32" s="398">
        <f t="shared" si="48"/>
        <v>0</v>
      </c>
      <c r="BO32" s="402"/>
      <c r="BP32" s="393">
        <f t="shared" si="21"/>
        <v>0</v>
      </c>
      <c r="BR32" s="393">
        <f t="shared" si="49"/>
        <v>0</v>
      </c>
      <c r="BS32" s="393"/>
      <c r="BT32" s="393">
        <f t="shared" si="33"/>
        <v>0</v>
      </c>
      <c r="BW32" s="366">
        <f t="shared" si="34"/>
        <v>2033</v>
      </c>
      <c r="BX32" s="393">
        <f t="shared" si="22"/>
        <v>0</v>
      </c>
      <c r="BY32" s="369">
        <f t="shared" si="35"/>
        <v>0</v>
      </c>
      <c r="BZ32" s="403">
        <f t="shared" si="36"/>
        <v>0</v>
      </c>
      <c r="CA32" s="393">
        <f t="shared" si="37"/>
        <v>0</v>
      </c>
      <c r="CC32" s="393">
        <f t="shared" si="38"/>
        <v>0</v>
      </c>
      <c r="CD32" s="393">
        <f t="shared" si="38"/>
        <v>0</v>
      </c>
      <c r="CE32" s="393">
        <f t="shared" si="39"/>
        <v>0</v>
      </c>
      <c r="CF32" s="393"/>
      <c r="CG32" s="393">
        <f t="shared" si="45"/>
        <v>0</v>
      </c>
      <c r="DB32" s="333">
        <f>$J20</f>
        <v>7</v>
      </c>
    </row>
    <row r="33" spans="1:106">
      <c r="A33" s="187" t="s">
        <v>75</v>
      </c>
      <c r="C33" s="356">
        <f>+'Gas Input Table Summary'!$E$22</f>
        <v>0.35</v>
      </c>
      <c r="F33" s="368"/>
      <c r="G33" s="368"/>
      <c r="H33" s="368"/>
      <c r="J33" s="333">
        <f t="shared" si="23"/>
        <v>20</v>
      </c>
      <c r="L33" s="366">
        <f t="shared" si="24"/>
        <v>2034</v>
      </c>
      <c r="M33" s="386">
        <f t="shared" si="46"/>
        <v>0</v>
      </c>
      <c r="N33" s="387">
        <f t="shared" si="40"/>
        <v>4.9539999999999997</v>
      </c>
      <c r="O33" s="388">
        <f t="shared" si="0"/>
        <v>0</v>
      </c>
      <c r="P33" s="387">
        <f t="shared" si="1"/>
        <v>0</v>
      </c>
      <c r="Q33" s="389">
        <f t="shared" si="25"/>
        <v>0</v>
      </c>
      <c r="R33" s="390">
        <f t="shared" si="2"/>
        <v>0</v>
      </c>
      <c r="S33" s="372">
        <f t="shared" si="3"/>
        <v>0</v>
      </c>
      <c r="T33" s="389">
        <f t="shared" si="41"/>
        <v>172</v>
      </c>
      <c r="U33" s="391">
        <f t="shared" si="42"/>
        <v>0</v>
      </c>
      <c r="V33" s="386">
        <f t="shared" si="26"/>
        <v>0</v>
      </c>
      <c r="W33" s="392">
        <f t="shared" si="4"/>
        <v>2.5910000000000002</v>
      </c>
      <c r="X33" s="393">
        <f t="shared" si="5"/>
        <v>0</v>
      </c>
      <c r="Y33" s="409">
        <v>0</v>
      </c>
      <c r="Z33" s="409">
        <v>0</v>
      </c>
      <c r="AA33" s="410">
        <f t="shared" si="6"/>
        <v>0</v>
      </c>
      <c r="AB33" s="409">
        <f t="shared" si="7"/>
        <v>0</v>
      </c>
      <c r="AE33" s="366">
        <f t="shared" si="27"/>
        <v>2034</v>
      </c>
      <c r="AF33" s="393">
        <f t="shared" si="8"/>
        <v>0</v>
      </c>
      <c r="AG33" s="368">
        <f t="shared" si="9"/>
        <v>0</v>
      </c>
      <c r="AH33" s="393">
        <f t="shared" si="43"/>
        <v>0</v>
      </c>
      <c r="AJ33" s="394">
        <f t="shared" si="28"/>
        <v>0</v>
      </c>
      <c r="AK33" s="394">
        <f t="shared" si="28"/>
        <v>0</v>
      </c>
      <c r="AL33" s="395">
        <f t="shared" si="10"/>
        <v>0</v>
      </c>
      <c r="AN33" s="396">
        <f t="shared" si="11"/>
        <v>0</v>
      </c>
      <c r="AQ33" s="366">
        <f t="shared" si="29"/>
        <v>2034</v>
      </c>
      <c r="AR33" s="409">
        <f t="shared" si="12"/>
        <v>0</v>
      </c>
      <c r="AS33" s="393">
        <f t="shared" si="13"/>
        <v>0</v>
      </c>
      <c r="AT33" s="397">
        <f t="shared" si="14"/>
        <v>4.5999999999999999E-2</v>
      </c>
      <c r="AU33" s="398">
        <f t="shared" si="47"/>
        <v>0</v>
      </c>
      <c r="AV33" s="387">
        <f t="shared" si="15"/>
        <v>0.55200000000000005</v>
      </c>
      <c r="AW33" s="393">
        <f t="shared" si="16"/>
        <v>0</v>
      </c>
      <c r="AX33" s="397"/>
      <c r="AY33" s="399"/>
      <c r="AZ33" s="409">
        <f t="shared" si="30"/>
        <v>0</v>
      </c>
      <c r="BA33" s="381"/>
      <c r="BB33" s="409">
        <v>0</v>
      </c>
      <c r="BC33" s="393">
        <v>0</v>
      </c>
      <c r="BD33" s="400">
        <f t="shared" si="31"/>
        <v>0</v>
      </c>
      <c r="BE33" s="409">
        <f t="shared" si="17"/>
        <v>0</v>
      </c>
      <c r="BH33" s="366">
        <f t="shared" si="32"/>
        <v>2034</v>
      </c>
      <c r="BI33" s="393">
        <v>0</v>
      </c>
      <c r="BJ33" s="369">
        <f t="shared" si="18"/>
        <v>0</v>
      </c>
      <c r="BK33" s="401">
        <f t="shared" si="19"/>
        <v>11.004</v>
      </c>
      <c r="BL33" s="393">
        <f t="shared" si="44"/>
        <v>0</v>
      </c>
      <c r="BM33" s="401">
        <f t="shared" si="20"/>
        <v>0.26900000000000002</v>
      </c>
      <c r="BN33" s="398">
        <f t="shared" si="48"/>
        <v>0</v>
      </c>
      <c r="BO33" s="398"/>
      <c r="BP33" s="393">
        <f t="shared" si="21"/>
        <v>0</v>
      </c>
      <c r="BR33" s="393">
        <f t="shared" si="49"/>
        <v>0</v>
      </c>
      <c r="BS33" s="393"/>
      <c r="BT33" s="393">
        <f t="shared" si="33"/>
        <v>0</v>
      </c>
      <c r="BW33" s="366">
        <f t="shared" si="34"/>
        <v>2034</v>
      </c>
      <c r="BX33" s="393">
        <f t="shared" si="22"/>
        <v>0</v>
      </c>
      <c r="BY33" s="369">
        <f t="shared" si="35"/>
        <v>0</v>
      </c>
      <c r="BZ33" s="403">
        <f t="shared" si="36"/>
        <v>0</v>
      </c>
      <c r="CA33" s="393">
        <f t="shared" si="37"/>
        <v>0</v>
      </c>
      <c r="CC33" s="393">
        <f t="shared" si="38"/>
        <v>0</v>
      </c>
      <c r="CD33" s="393">
        <f t="shared" si="38"/>
        <v>0</v>
      </c>
      <c r="CE33" s="393">
        <f t="shared" si="39"/>
        <v>0</v>
      </c>
      <c r="CF33" s="393"/>
      <c r="CG33" s="393">
        <f t="shared" si="45"/>
        <v>0</v>
      </c>
      <c r="DB33" s="333"/>
    </row>
    <row r="34" spans="1:106">
      <c r="A34" s="185" t="s">
        <v>18</v>
      </c>
      <c r="C34" s="358">
        <f>+'Gas Input Table Summary'!$E$23</f>
        <v>2.3E-2</v>
      </c>
      <c r="E34" s="187" t="s">
        <v>76</v>
      </c>
      <c r="F34" s="357">
        <v>0</v>
      </c>
      <c r="G34" s="357"/>
      <c r="H34" s="357"/>
      <c r="J34" s="333">
        <f t="shared" si="23"/>
        <v>21</v>
      </c>
      <c r="L34" s="366">
        <f t="shared" si="24"/>
        <v>2035</v>
      </c>
      <c r="M34" s="412">
        <f t="shared" si="46"/>
        <v>0</v>
      </c>
      <c r="N34" s="387">
        <f t="shared" si="40"/>
        <v>5.1280000000000001</v>
      </c>
      <c r="O34" s="394">
        <f t="shared" si="0"/>
        <v>0</v>
      </c>
      <c r="P34" s="413">
        <f t="shared" si="1"/>
        <v>0</v>
      </c>
      <c r="Q34" s="410">
        <f t="shared" si="25"/>
        <v>0</v>
      </c>
      <c r="R34" s="414">
        <f t="shared" si="2"/>
        <v>0</v>
      </c>
      <c r="S34" s="415">
        <f t="shared" si="3"/>
        <v>0</v>
      </c>
      <c r="T34" s="389">
        <f t="shared" si="41"/>
        <v>174</v>
      </c>
      <c r="U34" s="416">
        <f t="shared" si="42"/>
        <v>0</v>
      </c>
      <c r="V34" s="412">
        <f t="shared" si="26"/>
        <v>0</v>
      </c>
      <c r="W34" s="392">
        <f t="shared" si="4"/>
        <v>2.681</v>
      </c>
      <c r="X34" s="409">
        <f t="shared" si="5"/>
        <v>0</v>
      </c>
      <c r="Y34" s="409">
        <v>0</v>
      </c>
      <c r="Z34" s="409">
        <v>0</v>
      </c>
      <c r="AA34" s="417">
        <f t="shared" si="6"/>
        <v>0</v>
      </c>
      <c r="AB34" s="418">
        <f t="shared" si="7"/>
        <v>0</v>
      </c>
      <c r="AE34" s="366">
        <f t="shared" si="27"/>
        <v>2035</v>
      </c>
      <c r="AF34" s="409">
        <f t="shared" si="8"/>
        <v>0</v>
      </c>
      <c r="AG34" s="419">
        <f t="shared" si="9"/>
        <v>0</v>
      </c>
      <c r="AH34" s="418">
        <f t="shared" si="43"/>
        <v>0</v>
      </c>
      <c r="AJ34" s="394">
        <f t="shared" si="28"/>
        <v>0</v>
      </c>
      <c r="AK34" s="394">
        <f t="shared" si="28"/>
        <v>0</v>
      </c>
      <c r="AL34" s="420">
        <f t="shared" si="10"/>
        <v>0</v>
      </c>
      <c r="AN34" s="421">
        <f t="shared" si="11"/>
        <v>0</v>
      </c>
      <c r="AQ34" s="366">
        <f t="shared" si="29"/>
        <v>2035</v>
      </c>
      <c r="AR34" s="409">
        <f t="shared" si="12"/>
        <v>0</v>
      </c>
      <c r="AS34" s="409">
        <f t="shared" si="13"/>
        <v>0</v>
      </c>
      <c r="AT34" s="422">
        <f t="shared" si="14"/>
        <v>4.7E-2</v>
      </c>
      <c r="AU34" s="398">
        <f t="shared" si="47"/>
        <v>0</v>
      </c>
      <c r="AV34" s="413">
        <f t="shared" si="15"/>
        <v>0.56399999999999995</v>
      </c>
      <c r="AW34" s="409">
        <f t="shared" si="16"/>
        <v>0</v>
      </c>
      <c r="AX34" s="397"/>
      <c r="AY34" s="423"/>
      <c r="AZ34" s="418">
        <f t="shared" si="30"/>
        <v>0</v>
      </c>
      <c r="BA34" s="381"/>
      <c r="BB34" s="409">
        <v>0</v>
      </c>
      <c r="BC34" s="409">
        <v>0</v>
      </c>
      <c r="BD34" s="424">
        <f t="shared" si="31"/>
        <v>0</v>
      </c>
      <c r="BE34" s="418">
        <f t="shared" si="17"/>
        <v>0</v>
      </c>
      <c r="BH34" s="366">
        <f t="shared" si="32"/>
        <v>2035</v>
      </c>
      <c r="BI34" s="409">
        <v>0</v>
      </c>
      <c r="BJ34" s="412">
        <f t="shared" si="18"/>
        <v>0</v>
      </c>
      <c r="BK34" s="401">
        <f t="shared" si="19"/>
        <v>11.388999999999999</v>
      </c>
      <c r="BL34" s="409">
        <f t="shared" si="44"/>
        <v>0</v>
      </c>
      <c r="BM34" s="401">
        <f t="shared" si="20"/>
        <v>0.27800000000000002</v>
      </c>
      <c r="BN34" s="398">
        <f t="shared" si="48"/>
        <v>0</v>
      </c>
      <c r="BO34" s="425"/>
      <c r="BP34" s="418">
        <f t="shared" si="21"/>
        <v>0</v>
      </c>
      <c r="BR34" s="418">
        <f t="shared" si="49"/>
        <v>0</v>
      </c>
      <c r="BS34" s="418"/>
      <c r="BT34" s="418">
        <f t="shared" si="33"/>
        <v>0</v>
      </c>
      <c r="BW34" s="366">
        <f t="shared" si="34"/>
        <v>2035</v>
      </c>
      <c r="BX34" s="409">
        <f t="shared" si="22"/>
        <v>0</v>
      </c>
      <c r="BY34" s="369">
        <f t="shared" si="35"/>
        <v>0</v>
      </c>
      <c r="BZ34" s="403">
        <f t="shared" si="36"/>
        <v>0</v>
      </c>
      <c r="CA34" s="418">
        <f t="shared" si="37"/>
        <v>0</v>
      </c>
      <c r="CC34" s="418">
        <f t="shared" si="38"/>
        <v>0</v>
      </c>
      <c r="CD34" s="418">
        <f t="shared" si="38"/>
        <v>0</v>
      </c>
      <c r="CE34" s="418">
        <f t="shared" si="39"/>
        <v>0</v>
      </c>
      <c r="CF34" s="418"/>
      <c r="CG34" s="418">
        <f t="shared" si="45"/>
        <v>0</v>
      </c>
      <c r="DB34" s="333"/>
    </row>
    <row r="35" spans="1:106">
      <c r="A35" s="185"/>
      <c r="C35" s="358"/>
      <c r="E35" s="185"/>
      <c r="F35" s="196"/>
      <c r="G35" s="426"/>
      <c r="H35" s="426"/>
      <c r="M35" s="337"/>
      <c r="N35" s="187"/>
      <c r="R35" s="321"/>
      <c r="T35" s="427"/>
      <c r="V35" s="428"/>
      <c r="X35" s="339"/>
      <c r="Y35" s="339"/>
      <c r="Z35" s="339"/>
      <c r="AA35" s="337"/>
      <c r="AB35" s="337"/>
      <c r="AF35" s="337"/>
      <c r="AH35" s="337"/>
      <c r="AN35" s="337"/>
      <c r="AR35" s="337"/>
      <c r="AU35" s="400"/>
      <c r="AW35" s="400"/>
      <c r="AY35" s="400"/>
      <c r="AZ35" s="400"/>
      <c r="BB35" s="339"/>
      <c r="BC35" s="386"/>
      <c r="BG35" s="336"/>
      <c r="BJ35" s="429"/>
      <c r="BP35" s="337"/>
      <c r="BT35" s="428"/>
      <c r="BV35" s="336"/>
      <c r="BY35" s="429"/>
      <c r="CA35" s="337"/>
      <c r="CG35" s="428"/>
      <c r="DB35" s="333">
        <f>$J21</f>
        <v>8</v>
      </c>
    </row>
    <row r="36" spans="1:106">
      <c r="A36" s="185" t="s">
        <v>77</v>
      </c>
      <c r="C36" s="356">
        <f>+'Gas Input Table Summary'!$E$24</f>
        <v>0</v>
      </c>
      <c r="E36" s="430" t="s">
        <v>91</v>
      </c>
      <c r="F36" s="431"/>
      <c r="H36" s="432">
        <f>+'Gas Input Table Summary'!E58</f>
        <v>1.302</v>
      </c>
      <c r="J36" s="321"/>
      <c r="K36" s="187" t="s">
        <v>211</v>
      </c>
      <c r="M36" s="369">
        <f>SUM(M14:M34)</f>
        <v>0</v>
      </c>
      <c r="N36" s="187"/>
      <c r="R36" s="321"/>
      <c r="S36" s="374"/>
      <c r="T36" s="427"/>
      <c r="V36" s="374">
        <f>SUM(V14:V34)</f>
        <v>0</v>
      </c>
      <c r="X36" s="357"/>
      <c r="Y36" s="357"/>
      <c r="Z36" s="357"/>
      <c r="AA36" s="357">
        <f>SUM(AA14:AA34)</f>
        <v>0</v>
      </c>
      <c r="AB36" s="357">
        <f>SUM(AB14:AB34)</f>
        <v>0</v>
      </c>
      <c r="AD36" s="185" t="s">
        <v>78</v>
      </c>
      <c r="AE36" s="369"/>
      <c r="AF36" s="357"/>
      <c r="AG36" s="357"/>
      <c r="AH36" s="357">
        <f>SUM(AH14:AH34)</f>
        <v>0</v>
      </c>
      <c r="AL36" s="357">
        <f>SUM(AL14:AL34)</f>
        <v>0</v>
      </c>
      <c r="AN36" s="357">
        <f>SUM(AN14:AN34)</f>
        <v>0</v>
      </c>
      <c r="AP36" s="185" t="s">
        <v>78</v>
      </c>
      <c r="AQ36" s="369"/>
      <c r="AR36" s="357"/>
      <c r="AS36" s="357"/>
      <c r="AU36" s="393"/>
      <c r="AW36" s="393"/>
      <c r="AY36" s="393"/>
      <c r="AZ36" s="433">
        <f>SUM(AZ14:AZ34)</f>
        <v>0</v>
      </c>
      <c r="BB36" s="357"/>
      <c r="BC36" s="357"/>
      <c r="BD36" s="357">
        <f>SUM(BD14:BD34)</f>
        <v>0</v>
      </c>
      <c r="BE36" s="357">
        <f>SUM(BE14:BE34)</f>
        <v>0</v>
      </c>
      <c r="BG36" s="434" t="s">
        <v>211</v>
      </c>
      <c r="BI36" s="357"/>
      <c r="BJ36" s="369">
        <f>SUM(BJ14:BJ34)</f>
        <v>0</v>
      </c>
      <c r="BK36" s="427"/>
      <c r="BL36" s="357"/>
      <c r="BN36" s="357"/>
      <c r="BO36" s="357"/>
      <c r="BP36" s="357">
        <f>SUM(BP14:BP34)</f>
        <v>0</v>
      </c>
      <c r="BR36" s="357">
        <f>SUM(BR14:BR34)</f>
        <v>0</v>
      </c>
      <c r="BS36" s="357"/>
      <c r="BT36" s="357">
        <f>SUM(BT14:BT34)</f>
        <v>0</v>
      </c>
      <c r="BX36" s="357"/>
      <c r="BY36" s="369"/>
      <c r="BZ36" s="434" t="s">
        <v>211</v>
      </c>
      <c r="CA36" s="357">
        <f>SUM(CA14:CA34)</f>
        <v>0</v>
      </c>
      <c r="CC36" s="357"/>
      <c r="CD36" s="357"/>
      <c r="CE36" s="357">
        <f>SUM(CE14:CE34)</f>
        <v>0</v>
      </c>
      <c r="CF36" s="357"/>
      <c r="CG36" s="357">
        <f>SUM(CG14:CG34)</f>
        <v>0</v>
      </c>
      <c r="DB36" s="333"/>
    </row>
    <row r="37" spans="1:106">
      <c r="A37" s="187" t="s">
        <v>47</v>
      </c>
      <c r="C37" s="358">
        <f>+'Gas Input Table Summary'!$E$25</f>
        <v>0</v>
      </c>
      <c r="E37" s="274"/>
      <c r="F37" s="435"/>
      <c r="H37" s="274"/>
      <c r="M37" s="369"/>
      <c r="N37" s="187"/>
      <c r="R37" s="321"/>
      <c r="S37" s="436"/>
      <c r="T37" s="337" t="s">
        <v>80</v>
      </c>
      <c r="V37" s="436">
        <f>ROUND(V14+NPV($C$41,V15:V34),0)</f>
        <v>0</v>
      </c>
      <c r="X37" s="357"/>
      <c r="Y37" s="357"/>
      <c r="Z37" s="357"/>
      <c r="AA37" s="357">
        <f>ROUND(AA14+NPV($C$41,AA15:AA34),0)</f>
        <v>0</v>
      </c>
      <c r="AB37" s="357">
        <f>ROUND(AB14+NPV($C$41,AB15:AB34),0)</f>
        <v>0</v>
      </c>
      <c r="AF37" s="357"/>
      <c r="AG37" s="185" t="s">
        <v>80</v>
      </c>
      <c r="AH37" s="357">
        <f>ROUND(AH14+NPV($C$41,AH15:AH34),0)</f>
        <v>0</v>
      </c>
      <c r="AL37" s="357">
        <f>ROUND(AL14+NPV($C$41,AL15:AL34),0)</f>
        <v>0</v>
      </c>
      <c r="AN37" s="357">
        <f>+AH37-AL37</f>
        <v>0</v>
      </c>
      <c r="AR37" s="357"/>
      <c r="AS37" s="357"/>
      <c r="AU37" s="393"/>
      <c r="AW37" s="185" t="s">
        <v>80</v>
      </c>
      <c r="AY37" s="393"/>
      <c r="AZ37" s="357">
        <f>ROUND(AZ14+NPV($C$43,AZ15:AZ34),0)</f>
        <v>0</v>
      </c>
      <c r="BB37" s="357"/>
      <c r="BC37" s="357"/>
      <c r="BD37" s="357">
        <f>ROUND(BD14+NPV($C$43,BD15:BD34),0)</f>
        <v>0</v>
      </c>
      <c r="BE37" s="357">
        <f>AZ37-BD37</f>
        <v>0</v>
      </c>
      <c r="BG37" s="336"/>
      <c r="BI37" s="357"/>
      <c r="BL37" s="357"/>
      <c r="BN37" s="357" t="s">
        <v>203</v>
      </c>
      <c r="BO37" s="357"/>
      <c r="BP37" s="357">
        <f>ROUND(BP14+NPV($C$39,BP15:BP34),0)</f>
        <v>0</v>
      </c>
      <c r="BR37" s="357">
        <f>ROUND(BR14+NPV($C$39,BR15:BR34),0)</f>
        <v>0</v>
      </c>
      <c r="BS37" s="357"/>
      <c r="BT37" s="369">
        <f>ROUND(BT14+NPV($C$39,BT15:BT34),0)</f>
        <v>0</v>
      </c>
      <c r="BV37" s="336"/>
      <c r="BX37" s="357"/>
      <c r="BZ37" s="357" t="s">
        <v>203</v>
      </c>
      <c r="CA37" s="357">
        <f>ROUND(CA14+NPV($C$41,CA15:CA34),0)</f>
        <v>0</v>
      </c>
      <c r="CC37" s="357"/>
      <c r="CD37" s="357"/>
      <c r="CE37" s="357">
        <f>ROUND(CE14+NPV($C$41,CE15:CE34),0)</f>
        <v>0</v>
      </c>
      <c r="CF37" s="357"/>
      <c r="CG37" s="369">
        <f>ROUND(CG14+NPV($C$41,CG15:CG34),0)</f>
        <v>0</v>
      </c>
      <c r="DB37" s="333">
        <f>$J22</f>
        <v>9</v>
      </c>
    </row>
    <row r="38" spans="1:106">
      <c r="C38" s="358"/>
      <c r="E38" s="437" t="s">
        <v>98</v>
      </c>
      <c r="F38" s="274"/>
      <c r="H38" s="438">
        <f>+'Gas Input Table Summary'!E59</f>
        <v>0.35</v>
      </c>
      <c r="M38" s="369"/>
      <c r="N38" s="187"/>
      <c r="R38" s="321"/>
      <c r="T38" s="427"/>
      <c r="V38" s="386"/>
      <c r="X38" s="185" t="s">
        <v>81</v>
      </c>
      <c r="Z38" s="369"/>
      <c r="AA38" s="369"/>
      <c r="AB38" s="386"/>
      <c r="AF38" s="369"/>
      <c r="AH38" s="369"/>
      <c r="AI38" s="369"/>
      <c r="AR38" s="369"/>
      <c r="AY38" s="369"/>
      <c r="AZ38" s="369"/>
      <c r="BA38" s="369"/>
      <c r="BB38" s="369"/>
      <c r="BC38" s="369"/>
      <c r="BD38" s="369"/>
      <c r="BE38" s="369"/>
      <c r="BF38" s="369"/>
      <c r="BG38" s="336"/>
      <c r="BI38" s="357"/>
      <c r="BP38" s="369"/>
      <c r="BS38" s="369"/>
      <c r="BU38" s="369"/>
      <c r="BV38" s="336"/>
      <c r="BX38" s="357"/>
      <c r="CA38" s="369"/>
      <c r="CF38" s="369"/>
      <c r="DB38" s="333"/>
    </row>
    <row r="39" spans="1:106">
      <c r="A39" s="185" t="s">
        <v>79</v>
      </c>
      <c r="C39" s="361">
        <f>+'Gas Input Table Summary'!$E$26</f>
        <v>0.1</v>
      </c>
      <c r="E39" s="183" t="s">
        <v>225</v>
      </c>
      <c r="K39" s="185" t="s">
        <v>83</v>
      </c>
      <c r="M39" s="369"/>
      <c r="N39" s="357">
        <f>AB37</f>
        <v>0</v>
      </c>
      <c r="Q39" s="357"/>
      <c r="R39" s="321"/>
      <c r="T39" s="427"/>
      <c r="U39" s="427"/>
      <c r="V39" s="369"/>
      <c r="X39" s="185" t="s">
        <v>81</v>
      </c>
      <c r="Z39" s="369"/>
      <c r="AA39" s="369"/>
      <c r="AB39" s="386"/>
      <c r="AD39" s="185" t="s">
        <v>83</v>
      </c>
      <c r="AF39" s="369"/>
      <c r="AG39" s="357">
        <f>AN37</f>
        <v>0</v>
      </c>
      <c r="AH39" s="357"/>
      <c r="AI39" s="369"/>
      <c r="AM39" s="369"/>
      <c r="AP39" s="185" t="s">
        <v>83</v>
      </c>
      <c r="AR39" s="369"/>
      <c r="AS39" s="357">
        <f>BE37</f>
        <v>0</v>
      </c>
      <c r="AU39" s="357"/>
      <c r="AW39" s="357"/>
      <c r="AY39" s="369"/>
      <c r="AZ39" s="369"/>
      <c r="BA39" s="439"/>
      <c r="BB39" s="369"/>
      <c r="BC39" s="369"/>
      <c r="BD39" s="369"/>
      <c r="BF39" s="369"/>
      <c r="BG39" s="185" t="s">
        <v>83</v>
      </c>
      <c r="BJ39" s="357">
        <f>BT37</f>
        <v>0</v>
      </c>
      <c r="BK39" s="357"/>
      <c r="BP39" s="369"/>
      <c r="BS39" s="369"/>
      <c r="BT39" s="369"/>
      <c r="BU39" s="369"/>
      <c r="BV39" s="185" t="s">
        <v>83</v>
      </c>
      <c r="BY39" s="357">
        <f>CG37</f>
        <v>0</v>
      </c>
      <c r="BZ39" s="357"/>
      <c r="CA39" s="369"/>
      <c r="CF39" s="369"/>
      <c r="CG39" s="369"/>
      <c r="DB39" s="333"/>
    </row>
    <row r="40" spans="1:106" ht="13.8" thickBot="1">
      <c r="A40" s="185"/>
      <c r="C40" s="361"/>
      <c r="F40" s="368"/>
      <c r="K40" s="185" t="s">
        <v>84</v>
      </c>
      <c r="N40" s="440" t="e">
        <f>ROUND(V37/AA37,2)</f>
        <v>#DIV/0!</v>
      </c>
      <c r="Q40" s="427"/>
      <c r="R40" s="321"/>
      <c r="AB40" s="386"/>
      <c r="AD40" s="185" t="s">
        <v>84</v>
      </c>
      <c r="AF40" s="427"/>
      <c r="AG40" s="441" t="e">
        <f>ROUND(AH37/AL37,2)</f>
        <v>#DIV/0!</v>
      </c>
      <c r="AH40" s="427"/>
      <c r="AP40" s="185" t="s">
        <v>84</v>
      </c>
      <c r="AR40" s="427"/>
      <c r="AS40" s="441" t="e">
        <f>ROUND(AZ37/BD37,2)</f>
        <v>#DIV/0!</v>
      </c>
      <c r="AU40" s="427"/>
      <c r="AW40" s="427"/>
      <c r="AZ40" s="187"/>
      <c r="BD40" s="369"/>
      <c r="BG40" s="185" t="s">
        <v>84</v>
      </c>
      <c r="BJ40" s="441" t="e">
        <f>ROUND(BP37/BR37,20)</f>
        <v>#DIV/0!</v>
      </c>
      <c r="BK40" s="427"/>
      <c r="BV40" s="185" t="s">
        <v>84</v>
      </c>
      <c r="BY40" s="441" t="e">
        <f>ROUND(CA37/CE37,2)</f>
        <v>#DIV/0!</v>
      </c>
      <c r="BZ40" s="427"/>
      <c r="DB40" s="333">
        <f>$J23</f>
        <v>10</v>
      </c>
    </row>
    <row r="41" spans="1:106" ht="13.8" thickTop="1">
      <c r="A41" s="185" t="s">
        <v>82</v>
      </c>
      <c r="C41" s="361">
        <f>+'Gas Input Table Summary'!$E$27</f>
        <v>7.5999999999999998E-2</v>
      </c>
      <c r="E41" s="59" t="s">
        <v>88</v>
      </c>
      <c r="F41" s="60" t="s">
        <v>89</v>
      </c>
      <c r="G41" s="61" t="s">
        <v>90</v>
      </c>
      <c r="J41" s="355"/>
      <c r="K41" s="442"/>
      <c r="L41" s="355"/>
      <c r="M41" s="355"/>
      <c r="N41" s="355"/>
      <c r="O41" s="355"/>
      <c r="Q41" s="355"/>
      <c r="R41" s="443"/>
      <c r="S41" s="355"/>
      <c r="T41" s="355"/>
      <c r="U41" s="355"/>
      <c r="V41" s="355"/>
      <c r="W41" s="355"/>
      <c r="X41" s="355"/>
      <c r="AB41" s="386"/>
      <c r="AD41" s="185"/>
      <c r="AM41" s="444"/>
      <c r="AN41" s="185"/>
      <c r="AP41" s="185"/>
      <c r="AZ41" s="187"/>
      <c r="BB41" s="444"/>
      <c r="BE41" s="185"/>
      <c r="BG41" s="336"/>
      <c r="BV41" s="336"/>
      <c r="DB41" s="333">
        <f>$J24</f>
        <v>11</v>
      </c>
    </row>
    <row r="42" spans="1:106">
      <c r="E42" s="445" t="s">
        <v>5</v>
      </c>
      <c r="F42" s="446">
        <f>N39</f>
        <v>0</v>
      </c>
      <c r="G42" s="447" t="e">
        <f>N40</f>
        <v>#DIV/0!</v>
      </c>
      <c r="J42" s="75"/>
      <c r="K42" s="75"/>
      <c r="L42" s="448"/>
      <c r="M42" s="448"/>
      <c r="N42" s="448"/>
      <c r="O42" s="448"/>
      <c r="Q42" s="448"/>
      <c r="R42" s="448"/>
      <c r="S42" s="448"/>
      <c r="T42" s="448"/>
      <c r="U42" s="448"/>
      <c r="V42" s="448"/>
      <c r="W42" s="448"/>
      <c r="X42" s="448"/>
      <c r="AB42" s="386"/>
      <c r="AZ42" s="187"/>
      <c r="BD42" s="336"/>
      <c r="DB42" s="333">
        <f>$J25</f>
        <v>12</v>
      </c>
    </row>
    <row r="43" spans="1:106">
      <c r="A43" s="187" t="s">
        <v>85</v>
      </c>
      <c r="C43" s="361">
        <f>+'Gas Input Table Summary'!$E$28</f>
        <v>3.56E-2</v>
      </c>
      <c r="E43" s="449" t="s">
        <v>6</v>
      </c>
      <c r="F43" s="374">
        <f>AG39</f>
        <v>0</v>
      </c>
      <c r="G43" s="450" t="e">
        <f>AG40</f>
        <v>#DIV/0!</v>
      </c>
      <c r="J43" s="76" t="s">
        <v>124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8"/>
      <c r="AB43" s="386"/>
      <c r="AD43" s="76" t="s">
        <v>124</v>
      </c>
      <c r="AE43" s="77"/>
      <c r="AF43" s="451"/>
      <c r="AG43" s="451"/>
      <c r="AH43" s="452"/>
      <c r="AI43" s="452"/>
      <c r="AJ43" s="452"/>
      <c r="AK43" s="452"/>
      <c r="AN43" s="185"/>
      <c r="AP43" s="76" t="s">
        <v>124</v>
      </c>
      <c r="AQ43" s="77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2"/>
      <c r="BG43" s="76" t="s">
        <v>124</v>
      </c>
      <c r="BH43" s="77"/>
      <c r="BI43" s="451"/>
      <c r="BJ43" s="451"/>
      <c r="BK43" s="452"/>
      <c r="BL43" s="452"/>
      <c r="BM43" s="452"/>
      <c r="BN43" s="452"/>
      <c r="BO43" s="448"/>
      <c r="BP43" s="448" t="s">
        <v>81</v>
      </c>
      <c r="BQ43" s="448"/>
      <c r="BR43" s="448"/>
      <c r="BV43" s="76" t="s">
        <v>124</v>
      </c>
      <c r="BW43" s="77"/>
      <c r="BX43" s="451"/>
      <c r="BY43" s="451"/>
      <c r="BZ43" s="452"/>
      <c r="CA43" s="448" t="s">
        <v>81</v>
      </c>
      <c r="CB43" s="448"/>
      <c r="CC43" s="448"/>
      <c r="CD43" s="448"/>
      <c r="CE43" s="448"/>
      <c r="CI43" s="381"/>
      <c r="DB43" s="333">
        <f>$J26</f>
        <v>13</v>
      </c>
    </row>
    <row r="44" spans="1:106">
      <c r="E44" s="453" t="s">
        <v>7</v>
      </c>
      <c r="F44" s="374">
        <f>AS39</f>
        <v>0</v>
      </c>
      <c r="G44" s="450" t="e">
        <f>AS40</f>
        <v>#DIV/0!</v>
      </c>
      <c r="J44" s="454" t="s">
        <v>48</v>
      </c>
      <c r="K44" s="171" t="s">
        <v>121</v>
      </c>
      <c r="L44" s="455"/>
      <c r="M44" s="455"/>
      <c r="N44" s="455"/>
      <c r="O44" s="455"/>
      <c r="P44" s="455"/>
      <c r="Q44" s="455"/>
      <c r="R44" s="455"/>
      <c r="S44" s="455"/>
      <c r="T44" s="456" t="s">
        <v>56</v>
      </c>
      <c r="U44" s="171" t="s">
        <v>142</v>
      </c>
      <c r="V44" s="455"/>
      <c r="W44" s="455"/>
      <c r="X44" s="457"/>
      <c r="AB44" s="337"/>
      <c r="AD44" s="454" t="s">
        <v>48</v>
      </c>
      <c r="AE44" s="171" t="s">
        <v>162</v>
      </c>
      <c r="AF44" s="455"/>
      <c r="AG44" s="455"/>
      <c r="AH44" s="455"/>
      <c r="AI44" s="455"/>
      <c r="AJ44" s="455"/>
      <c r="AK44" s="457"/>
      <c r="AN44" s="185"/>
      <c r="AP44" s="458" t="s">
        <v>48</v>
      </c>
      <c r="AQ44" s="171" t="s">
        <v>162</v>
      </c>
      <c r="AR44" s="455"/>
      <c r="AS44" s="455"/>
      <c r="AU44" s="455"/>
      <c r="AW44" s="459" t="s">
        <v>55</v>
      </c>
      <c r="AZ44" s="363" t="s">
        <v>152</v>
      </c>
      <c r="BA44" s="339"/>
      <c r="BC44" s="339"/>
      <c r="BD44" s="455"/>
      <c r="BE44" s="457"/>
      <c r="BG44" s="460" t="s">
        <v>48</v>
      </c>
      <c r="BH44" s="171" t="s">
        <v>156</v>
      </c>
      <c r="BI44" s="455"/>
      <c r="BJ44" s="455"/>
      <c r="BK44" s="455"/>
      <c r="BL44" s="455"/>
      <c r="BM44" s="455"/>
      <c r="BN44" s="457"/>
      <c r="BV44" s="460" t="s">
        <v>48</v>
      </c>
      <c r="BW44" s="171" t="s">
        <v>162</v>
      </c>
      <c r="BX44" s="455"/>
      <c r="BY44" s="455"/>
      <c r="BZ44" s="457"/>
      <c r="CI44" s="381"/>
      <c r="DB44" s="333"/>
    </row>
    <row r="45" spans="1:106">
      <c r="A45" s="185" t="s">
        <v>86</v>
      </c>
      <c r="C45" s="461">
        <f>+'Res .95+% Res Furnace - NEW'!C45</f>
        <v>2014</v>
      </c>
      <c r="E45" s="449" t="s">
        <v>8</v>
      </c>
      <c r="F45" s="374">
        <f>BJ39</f>
        <v>0</v>
      </c>
      <c r="G45" s="450" t="e">
        <f>BJ40</f>
        <v>#DIV/0!</v>
      </c>
      <c r="J45" s="462" t="s">
        <v>49</v>
      </c>
      <c r="K45" s="172" t="s">
        <v>139</v>
      </c>
      <c r="L45" s="339"/>
      <c r="M45" s="339"/>
      <c r="N45" s="339"/>
      <c r="O45" s="339"/>
      <c r="P45" s="339"/>
      <c r="Q45" s="339"/>
      <c r="R45" s="339"/>
      <c r="S45" s="339"/>
      <c r="T45" s="459" t="s">
        <v>57</v>
      </c>
      <c r="U45" s="172" t="s">
        <v>143</v>
      </c>
      <c r="V45" s="339"/>
      <c r="W45" s="339"/>
      <c r="X45" s="463"/>
      <c r="AB45" s="357"/>
      <c r="AD45" s="462" t="s">
        <v>49</v>
      </c>
      <c r="AE45" s="464" t="s">
        <v>163</v>
      </c>
      <c r="AF45" s="339"/>
      <c r="AG45" s="339"/>
      <c r="AH45" s="339"/>
      <c r="AI45" s="339"/>
      <c r="AJ45" s="339"/>
      <c r="AK45" s="463"/>
      <c r="AP45" s="465" t="s">
        <v>54</v>
      </c>
      <c r="AQ45" s="172" t="s">
        <v>163</v>
      </c>
      <c r="AR45" s="339"/>
      <c r="AS45" s="339"/>
      <c r="AU45" s="339"/>
      <c r="AW45" s="459" t="s">
        <v>56</v>
      </c>
      <c r="AZ45" s="464" t="s">
        <v>153</v>
      </c>
      <c r="BA45" s="339"/>
      <c r="BC45" s="339"/>
      <c r="BD45" s="339"/>
      <c r="BE45" s="463"/>
      <c r="BG45" s="466" t="s">
        <v>49</v>
      </c>
      <c r="BH45" s="172" t="s">
        <v>125</v>
      </c>
      <c r="BI45" s="339"/>
      <c r="BJ45" s="339"/>
      <c r="BK45" s="339"/>
      <c r="BL45" s="339"/>
      <c r="BM45" s="339"/>
      <c r="BN45" s="463"/>
      <c r="BV45" s="466" t="s">
        <v>49</v>
      </c>
      <c r="BW45" s="172" t="s">
        <v>163</v>
      </c>
      <c r="BX45" s="339"/>
      <c r="BY45" s="339"/>
      <c r="BZ45" s="463"/>
      <c r="CI45" s="381"/>
      <c r="DB45" s="333"/>
    </row>
    <row r="46" spans="1:106">
      <c r="C46" s="336"/>
      <c r="E46" s="180" t="s">
        <v>216</v>
      </c>
      <c r="F46" s="467">
        <f>BY39</f>
        <v>0</v>
      </c>
      <c r="G46" s="468" t="e">
        <f>BY40</f>
        <v>#DIV/0!</v>
      </c>
      <c r="J46" s="462" t="s">
        <v>50</v>
      </c>
      <c r="K46" s="464" t="s">
        <v>120</v>
      </c>
      <c r="L46" s="339"/>
      <c r="M46" s="339"/>
      <c r="N46" s="339"/>
      <c r="O46" s="339"/>
      <c r="P46" s="339"/>
      <c r="Q46" s="339"/>
      <c r="R46" s="339"/>
      <c r="S46" s="339"/>
      <c r="T46" s="459" t="s">
        <v>58</v>
      </c>
      <c r="U46" s="172" t="s">
        <v>159</v>
      </c>
      <c r="V46" s="339"/>
      <c r="W46" s="339"/>
      <c r="X46" s="463"/>
      <c r="AB46" s="369"/>
      <c r="AD46" s="462" t="s">
        <v>50</v>
      </c>
      <c r="AE46" s="464" t="s">
        <v>164</v>
      </c>
      <c r="AF46" s="339"/>
      <c r="AG46" s="339"/>
      <c r="AH46" s="339"/>
      <c r="AI46" s="339"/>
      <c r="AJ46" s="339"/>
      <c r="AK46" s="463"/>
      <c r="AP46" s="465" t="s">
        <v>50</v>
      </c>
      <c r="AQ46" s="173" t="s">
        <v>199</v>
      </c>
      <c r="AR46" s="355"/>
      <c r="AS46" s="355"/>
      <c r="AU46" s="355"/>
      <c r="AW46" s="459" t="s">
        <v>57</v>
      </c>
      <c r="AZ46" s="464" t="s">
        <v>154</v>
      </c>
      <c r="BA46" s="339"/>
      <c r="BC46" s="339"/>
      <c r="BD46" s="339"/>
      <c r="BE46" s="463"/>
      <c r="BG46" s="466" t="s">
        <v>50</v>
      </c>
      <c r="BH46" s="174" t="s">
        <v>129</v>
      </c>
      <c r="BI46" s="355"/>
      <c r="BJ46" s="355"/>
      <c r="BK46" s="339"/>
      <c r="BL46" s="355"/>
      <c r="BM46" s="459"/>
      <c r="BN46" s="469"/>
      <c r="BV46" s="466" t="s">
        <v>50</v>
      </c>
      <c r="BW46" s="172" t="s">
        <v>218</v>
      </c>
      <c r="BX46" s="355"/>
      <c r="BY46" s="355"/>
      <c r="BZ46" s="463"/>
      <c r="CI46" s="381"/>
      <c r="DB46" s="333"/>
    </row>
    <row r="47" spans="1:106">
      <c r="A47" s="185" t="s">
        <v>87</v>
      </c>
      <c r="C47" s="461">
        <f>+'Res .95+% Res Furnace - NEW'!C47</f>
        <v>2015</v>
      </c>
      <c r="J47" s="462" t="s">
        <v>51</v>
      </c>
      <c r="K47" s="172" t="s">
        <v>138</v>
      </c>
      <c r="L47" s="339"/>
      <c r="M47" s="339"/>
      <c r="N47" s="339"/>
      <c r="O47" s="339"/>
      <c r="P47" s="339"/>
      <c r="Q47" s="339"/>
      <c r="R47" s="339"/>
      <c r="S47" s="339"/>
      <c r="T47" s="459" t="s">
        <v>59</v>
      </c>
      <c r="U47" s="404" t="s">
        <v>160</v>
      </c>
      <c r="V47" s="339"/>
      <c r="W47" s="339"/>
      <c r="X47" s="463"/>
      <c r="AB47" s="369"/>
      <c r="AD47" s="462" t="s">
        <v>51</v>
      </c>
      <c r="AE47" s="172" t="s">
        <v>126</v>
      </c>
      <c r="AF47" s="339"/>
      <c r="AG47" s="339"/>
      <c r="AH47" s="339"/>
      <c r="AI47" s="339"/>
      <c r="AJ47" s="339"/>
      <c r="AK47" s="463"/>
      <c r="AO47" s="185"/>
      <c r="AP47" s="465" t="s">
        <v>51</v>
      </c>
      <c r="AQ47" s="173" t="s">
        <v>151</v>
      </c>
      <c r="AR47" s="355"/>
      <c r="AS47" s="355"/>
      <c r="AU47" s="355"/>
      <c r="AW47" s="459" t="s">
        <v>58</v>
      </c>
      <c r="AZ47" s="464" t="s">
        <v>155</v>
      </c>
      <c r="BA47" s="339"/>
      <c r="BC47" s="339"/>
      <c r="BD47" s="339"/>
      <c r="BE47" s="463"/>
      <c r="BG47" s="466" t="s">
        <v>51</v>
      </c>
      <c r="BH47" s="173" t="s">
        <v>130</v>
      </c>
      <c r="BI47" s="355"/>
      <c r="BJ47" s="355"/>
      <c r="BK47" s="339"/>
      <c r="BL47" s="355"/>
      <c r="BM47" s="459"/>
      <c r="BN47" s="469"/>
      <c r="BO47" s="339"/>
      <c r="BP47" s="339"/>
      <c r="BQ47" s="339"/>
      <c r="BR47" s="339"/>
      <c r="BV47" s="466" t="s">
        <v>51</v>
      </c>
      <c r="BW47" s="172" t="s">
        <v>127</v>
      </c>
      <c r="BX47" s="355"/>
      <c r="BY47" s="355"/>
      <c r="BZ47" s="463"/>
      <c r="CA47" s="339"/>
      <c r="CB47" s="339"/>
      <c r="CC47" s="339"/>
      <c r="CD47" s="339"/>
      <c r="CE47" s="339"/>
      <c r="CI47" s="381"/>
      <c r="DB47" s="333"/>
    </row>
    <row r="48" spans="1:106">
      <c r="A48" s="185"/>
      <c r="C48" s="366"/>
      <c r="J48" s="462" t="s">
        <v>52</v>
      </c>
      <c r="K48" s="464" t="s">
        <v>140</v>
      </c>
      <c r="L48" s="339"/>
      <c r="M48" s="339"/>
      <c r="N48" s="339"/>
      <c r="O48" s="348"/>
      <c r="P48" s="339"/>
      <c r="Q48" s="339"/>
      <c r="R48" s="339"/>
      <c r="S48" s="339"/>
      <c r="T48" s="459" t="s">
        <v>60</v>
      </c>
      <c r="U48" s="172" t="s">
        <v>146</v>
      </c>
      <c r="V48" s="339"/>
      <c r="W48" s="339"/>
      <c r="X48" s="463"/>
      <c r="AD48" s="462" t="s">
        <v>52</v>
      </c>
      <c r="AE48" s="172" t="s">
        <v>156</v>
      </c>
      <c r="AF48" s="339"/>
      <c r="AG48" s="339"/>
      <c r="AH48" s="339"/>
      <c r="AI48" s="339"/>
      <c r="AJ48" s="339"/>
      <c r="AK48" s="463"/>
      <c r="AP48" s="465" t="s">
        <v>52</v>
      </c>
      <c r="AQ48" s="173" t="s">
        <v>134</v>
      </c>
      <c r="AR48" s="355"/>
      <c r="AS48" s="355"/>
      <c r="AU48" s="355"/>
      <c r="AW48" s="459"/>
      <c r="AZ48" s="187"/>
      <c r="BA48" s="339"/>
      <c r="BC48" s="339"/>
      <c r="BD48" s="339"/>
      <c r="BE48" s="463"/>
      <c r="BG48" s="466" t="s">
        <v>52</v>
      </c>
      <c r="BH48" s="173" t="s">
        <v>165</v>
      </c>
      <c r="BI48" s="355"/>
      <c r="BJ48" s="355"/>
      <c r="BK48" s="339"/>
      <c r="BL48" s="355"/>
      <c r="BM48" s="355"/>
      <c r="BN48" s="463"/>
      <c r="BO48" s="339"/>
      <c r="BP48" s="339"/>
      <c r="BQ48" s="339"/>
      <c r="BR48" s="339"/>
      <c r="BV48" s="466" t="s">
        <v>52</v>
      </c>
      <c r="BW48" s="172" t="s">
        <v>222</v>
      </c>
      <c r="BX48" s="355"/>
      <c r="BY48" s="355"/>
      <c r="BZ48" s="463"/>
      <c r="CA48" s="339"/>
      <c r="CB48" s="339"/>
      <c r="CC48" s="339"/>
      <c r="CD48" s="339"/>
      <c r="CE48" s="339"/>
      <c r="CI48" s="381"/>
      <c r="DB48" s="333"/>
    </row>
    <row r="49" spans="1:108">
      <c r="A49" s="185"/>
      <c r="C49" s="336"/>
      <c r="J49" s="462" t="s">
        <v>53</v>
      </c>
      <c r="K49" s="172" t="s">
        <v>141</v>
      </c>
      <c r="L49" s="339"/>
      <c r="M49" s="339"/>
      <c r="N49" s="339"/>
      <c r="O49" s="339"/>
      <c r="P49" s="339"/>
      <c r="Q49" s="339"/>
      <c r="R49" s="339"/>
      <c r="S49" s="339"/>
      <c r="T49" s="459" t="s">
        <v>61</v>
      </c>
      <c r="U49" s="464" t="s">
        <v>128</v>
      </c>
      <c r="V49" s="339"/>
      <c r="W49" s="339"/>
      <c r="X49" s="463"/>
      <c r="AD49" s="462" t="s">
        <v>53</v>
      </c>
      <c r="AE49" s="464" t="s">
        <v>148</v>
      </c>
      <c r="AF49" s="339"/>
      <c r="AG49" s="339"/>
      <c r="AH49" s="339"/>
      <c r="AI49" s="339"/>
      <c r="AJ49" s="339"/>
      <c r="AK49" s="463"/>
      <c r="AP49" s="465" t="s">
        <v>53</v>
      </c>
      <c r="AQ49" s="172" t="s">
        <v>135</v>
      </c>
      <c r="AR49" s="339"/>
      <c r="AS49" s="339"/>
      <c r="AU49" s="339"/>
      <c r="AW49" s="459"/>
      <c r="AZ49" s="187"/>
      <c r="BA49" s="339"/>
      <c r="BC49" s="339"/>
      <c r="BD49" s="339"/>
      <c r="BE49" s="463"/>
      <c r="BG49" s="466" t="s">
        <v>53</v>
      </c>
      <c r="BH49" s="173" t="s">
        <v>365</v>
      </c>
      <c r="BI49" s="355"/>
      <c r="BJ49" s="355"/>
      <c r="BK49" s="339"/>
      <c r="BL49" s="355"/>
      <c r="BM49" s="459"/>
      <c r="BN49" s="463"/>
      <c r="BO49" s="339"/>
      <c r="BP49" s="339"/>
      <c r="BQ49" s="339"/>
      <c r="BR49" s="339"/>
      <c r="BV49" s="466" t="s">
        <v>53</v>
      </c>
      <c r="BW49" s="172" t="s">
        <v>223</v>
      </c>
      <c r="BX49" s="355"/>
      <c r="BY49" s="355"/>
      <c r="BZ49" s="463"/>
      <c r="CA49" s="339"/>
      <c r="CB49" s="339"/>
      <c r="CC49" s="339"/>
      <c r="CD49" s="339"/>
      <c r="CE49" s="339"/>
      <c r="DB49" s="333">
        <f>$J27</f>
        <v>14</v>
      </c>
    </row>
    <row r="50" spans="1:108">
      <c r="J50" s="462" t="s">
        <v>54</v>
      </c>
      <c r="K50" s="172" t="s">
        <v>122</v>
      </c>
      <c r="L50" s="339"/>
      <c r="M50" s="339"/>
      <c r="N50" s="339"/>
      <c r="O50" s="339"/>
      <c r="P50" s="339"/>
      <c r="Q50" s="339"/>
      <c r="R50" s="339"/>
      <c r="S50" s="339"/>
      <c r="T50" s="459" t="s">
        <v>137</v>
      </c>
      <c r="U50" s="464" t="s">
        <v>161</v>
      </c>
      <c r="V50" s="339"/>
      <c r="W50" s="339"/>
      <c r="X50" s="463"/>
      <c r="AD50" s="180" t="s">
        <v>54</v>
      </c>
      <c r="AE50" s="470" t="s">
        <v>149</v>
      </c>
      <c r="AF50" s="346"/>
      <c r="AG50" s="346"/>
      <c r="AH50" s="346"/>
      <c r="AI50" s="346"/>
      <c r="AJ50" s="346"/>
      <c r="AK50" s="471"/>
      <c r="AP50" s="472" t="s">
        <v>54</v>
      </c>
      <c r="AQ50" s="473" t="s">
        <v>150</v>
      </c>
      <c r="AR50" s="346"/>
      <c r="AS50" s="346"/>
      <c r="AT50" s="346"/>
      <c r="AU50" s="346"/>
      <c r="AV50" s="346"/>
      <c r="AW50" s="474"/>
      <c r="AX50" s="474"/>
      <c r="AY50" s="474"/>
      <c r="AZ50" s="474"/>
      <c r="BA50" s="346"/>
      <c r="BB50" s="346"/>
      <c r="BC50" s="346"/>
      <c r="BD50" s="346"/>
      <c r="BE50" s="471"/>
      <c r="BG50" s="466" t="s">
        <v>54</v>
      </c>
      <c r="BH50" s="173" t="s">
        <v>157</v>
      </c>
      <c r="BI50" s="355"/>
      <c r="BJ50" s="355"/>
      <c r="BK50" s="339"/>
      <c r="BL50" s="355"/>
      <c r="BM50" s="459"/>
      <c r="BN50" s="463"/>
      <c r="BO50" s="339"/>
      <c r="BP50" s="339"/>
      <c r="BQ50" s="339"/>
      <c r="BR50" s="339"/>
      <c r="BV50" s="466" t="s">
        <v>54</v>
      </c>
      <c r="BW50" s="173" t="s">
        <v>219</v>
      </c>
      <c r="BX50" s="355"/>
      <c r="BY50" s="355"/>
      <c r="BZ50" s="463"/>
      <c r="CA50" s="339"/>
      <c r="CB50" s="339"/>
      <c r="CC50" s="339"/>
      <c r="CD50" s="339"/>
      <c r="CE50" s="339"/>
      <c r="DB50" s="333">
        <f>$J28</f>
        <v>15</v>
      </c>
    </row>
    <row r="51" spans="1:108">
      <c r="A51" s="339"/>
      <c r="B51" s="339"/>
      <c r="C51" s="339"/>
      <c r="J51" s="475" t="s">
        <v>55</v>
      </c>
      <c r="K51" s="476" t="s">
        <v>123</v>
      </c>
      <c r="L51" s="346"/>
      <c r="M51" s="346"/>
      <c r="N51" s="346"/>
      <c r="O51" s="346"/>
      <c r="P51" s="346"/>
      <c r="Q51" s="346"/>
      <c r="R51" s="346"/>
      <c r="S51" s="346"/>
      <c r="T51" s="474" t="s">
        <v>145</v>
      </c>
      <c r="U51" s="476" t="s">
        <v>147</v>
      </c>
      <c r="V51" s="346"/>
      <c r="W51" s="346"/>
      <c r="X51" s="471"/>
      <c r="AD51" s="459"/>
      <c r="AE51" s="339"/>
      <c r="AF51" s="339"/>
      <c r="AG51" s="339"/>
      <c r="AH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G51" s="466" t="s">
        <v>55</v>
      </c>
      <c r="BH51" s="174" t="s">
        <v>166</v>
      </c>
      <c r="BI51" s="339"/>
      <c r="BJ51" s="339"/>
      <c r="BK51" s="339"/>
      <c r="BL51" s="339"/>
      <c r="BM51" s="339"/>
      <c r="BN51" s="463"/>
      <c r="BO51" s="339"/>
      <c r="BP51" s="339"/>
      <c r="BQ51" s="339"/>
      <c r="BR51" s="339"/>
      <c r="BV51" s="466" t="s">
        <v>55</v>
      </c>
      <c r="BW51" s="174" t="s">
        <v>220</v>
      </c>
      <c r="BX51" s="339"/>
      <c r="BY51" s="339"/>
      <c r="BZ51" s="463"/>
      <c r="CA51" s="339"/>
      <c r="CB51" s="339"/>
      <c r="CC51" s="339"/>
      <c r="CD51" s="339"/>
      <c r="CE51" s="339"/>
      <c r="DB51" s="333">
        <f>$J29</f>
        <v>16</v>
      </c>
    </row>
    <row r="52" spans="1:108">
      <c r="A52" s="477"/>
      <c r="B52" s="339"/>
      <c r="C52" s="478"/>
      <c r="K52" s="193"/>
      <c r="N52" s="187"/>
      <c r="R52" s="32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G52" s="479" t="s">
        <v>56</v>
      </c>
      <c r="BH52" s="480" t="s">
        <v>158</v>
      </c>
      <c r="BI52" s="481"/>
      <c r="BJ52" s="481"/>
      <c r="BK52" s="481"/>
      <c r="BL52" s="481"/>
      <c r="BM52" s="346"/>
      <c r="BN52" s="471"/>
      <c r="BV52" s="479"/>
      <c r="BW52" s="346"/>
      <c r="BX52" s="481"/>
      <c r="BY52" s="481"/>
      <c r="BZ52" s="482"/>
      <c r="CL52" s="427"/>
      <c r="DB52" s="369"/>
    </row>
    <row r="53" spans="1:108">
      <c r="A53" s="339"/>
      <c r="B53" s="339"/>
      <c r="C53" s="477"/>
      <c r="K53" s="193"/>
      <c r="N53" s="187"/>
      <c r="R53" s="321"/>
      <c r="AB53" s="369"/>
      <c r="AP53" s="45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G53" s="483"/>
      <c r="BH53" s="339"/>
      <c r="BI53" s="355"/>
      <c r="BJ53" s="355"/>
      <c r="BK53" s="355"/>
      <c r="BL53" s="355"/>
      <c r="BM53" s="339"/>
      <c r="BN53" s="339"/>
      <c r="BV53" s="483"/>
      <c r="BW53" s="339"/>
      <c r="BX53" s="355"/>
      <c r="BY53" s="355"/>
      <c r="BZ53" s="355"/>
      <c r="CL53" s="357"/>
      <c r="DD53" s="369"/>
    </row>
    <row r="54" spans="1:108">
      <c r="C54" s="484"/>
      <c r="K54" s="193"/>
      <c r="N54" s="187"/>
      <c r="R54" s="321"/>
      <c r="AP54" s="485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H54" s="336"/>
      <c r="BW54" s="336"/>
    </row>
    <row r="55" spans="1:108">
      <c r="C55" s="484"/>
      <c r="N55" s="187"/>
      <c r="R55" s="321"/>
      <c r="AP55" s="485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H55" s="336"/>
      <c r="BW55" s="336"/>
    </row>
    <row r="56" spans="1:108">
      <c r="C56" s="486"/>
      <c r="N56" s="187"/>
      <c r="Q56" s="321"/>
      <c r="AO56" s="477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G56" s="336"/>
      <c r="BV56" s="336"/>
    </row>
    <row r="57" spans="1:108">
      <c r="C57" s="487"/>
      <c r="N57" s="187"/>
      <c r="Q57" s="32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G57" s="336"/>
      <c r="BV57" s="336"/>
    </row>
    <row r="58" spans="1:108">
      <c r="C58" s="487"/>
      <c r="N58" s="187"/>
      <c r="Q58" s="321"/>
      <c r="AZ58" s="187"/>
      <c r="BG58" s="336"/>
      <c r="BV58" s="336"/>
    </row>
    <row r="59" spans="1:108">
      <c r="C59" s="488"/>
      <c r="N59" s="187"/>
      <c r="Q59" s="321"/>
      <c r="AZ59" s="187"/>
      <c r="BG59" s="336"/>
      <c r="BV59" s="336"/>
    </row>
    <row r="60" spans="1:108">
      <c r="N60" s="187"/>
      <c r="Q60" s="321"/>
      <c r="AZ60" s="187"/>
      <c r="BG60" s="336"/>
      <c r="BV60" s="336"/>
    </row>
    <row r="61" spans="1:108">
      <c r="N61" s="187"/>
      <c r="Q61" s="321"/>
      <c r="AZ61" s="187"/>
      <c r="BG61" s="336"/>
      <c r="BV61" s="336"/>
    </row>
    <row r="62" spans="1:108">
      <c r="N62" s="187"/>
      <c r="Q62" s="321"/>
      <c r="AZ62" s="187"/>
      <c r="BG62" s="336"/>
      <c r="BV62" s="336"/>
    </row>
    <row r="63" spans="1:108">
      <c r="D63" s="339"/>
      <c r="E63" s="339"/>
      <c r="F63" s="489"/>
      <c r="G63" s="489"/>
      <c r="N63" s="187"/>
      <c r="Q63" s="321"/>
      <c r="AZ63" s="187"/>
      <c r="BG63" s="336"/>
      <c r="BV63" s="336"/>
    </row>
    <row r="64" spans="1:108">
      <c r="D64" s="339"/>
      <c r="E64" s="339"/>
      <c r="F64" s="489"/>
      <c r="G64" s="489"/>
      <c r="N64" s="187"/>
      <c r="Q64" s="321"/>
      <c r="AZ64" s="187"/>
      <c r="BG64" s="336"/>
      <c r="BV64" s="336"/>
    </row>
    <row r="65" spans="1:74">
      <c r="C65" s="357"/>
      <c r="D65" s="339"/>
      <c r="E65" s="339"/>
      <c r="F65" s="339"/>
      <c r="G65" s="339"/>
      <c r="N65" s="187"/>
      <c r="Q65" s="321"/>
      <c r="AZ65" s="187"/>
      <c r="BG65" s="336"/>
      <c r="BV65" s="336"/>
    </row>
    <row r="66" spans="1:74">
      <c r="A66" s="44"/>
      <c r="B66" s="185"/>
      <c r="D66" s="339"/>
      <c r="E66" s="339"/>
      <c r="F66" s="339"/>
      <c r="G66" s="339"/>
      <c r="N66" s="187"/>
      <c r="Q66" s="321"/>
      <c r="AZ66" s="187"/>
      <c r="BG66" s="336"/>
      <c r="BV66" s="336"/>
    </row>
    <row r="67" spans="1:74">
      <c r="A67" s="44"/>
      <c r="B67" s="185"/>
      <c r="D67" s="339"/>
      <c r="E67" s="339"/>
      <c r="F67" s="339"/>
      <c r="G67" s="339"/>
      <c r="N67" s="187"/>
      <c r="Q67" s="321"/>
      <c r="AZ67" s="187"/>
      <c r="BG67" s="336"/>
      <c r="BV67" s="336"/>
    </row>
    <row r="68" spans="1:74">
      <c r="N68" s="187"/>
      <c r="Q68" s="321"/>
      <c r="AZ68" s="187"/>
      <c r="BG68" s="336"/>
      <c r="BV68" s="336"/>
    </row>
    <row r="69" spans="1:74">
      <c r="N69" s="187"/>
      <c r="Q69" s="321"/>
      <c r="AZ69" s="187"/>
      <c r="BG69" s="336"/>
      <c r="BV69" s="336"/>
    </row>
    <row r="70" spans="1:74">
      <c r="N70" s="187"/>
      <c r="Q70" s="321"/>
      <c r="AZ70" s="187"/>
      <c r="BG70" s="336"/>
      <c r="BV70" s="336"/>
    </row>
    <row r="71" spans="1:74">
      <c r="N71" s="187"/>
      <c r="Q71" s="321"/>
      <c r="AZ71" s="187"/>
      <c r="BG71" s="336"/>
      <c r="BV71" s="336"/>
    </row>
    <row r="72" spans="1:74">
      <c r="N72" s="187"/>
      <c r="Q72" s="321"/>
      <c r="AZ72" s="187"/>
      <c r="BG72" s="336"/>
      <c r="BV72" s="336"/>
    </row>
    <row r="73" spans="1:74">
      <c r="N73" s="187"/>
      <c r="Q73" s="321"/>
      <c r="AZ73" s="187"/>
      <c r="BG73" s="336"/>
      <c r="BV73" s="336"/>
    </row>
    <row r="74" spans="1:74">
      <c r="N74" s="187"/>
      <c r="Q74" s="321"/>
      <c r="AZ74" s="187"/>
      <c r="BG74" s="336"/>
      <c r="BV74" s="336"/>
    </row>
    <row r="75" spans="1:74">
      <c r="N75" s="187"/>
      <c r="Q75" s="321"/>
      <c r="AZ75" s="187"/>
      <c r="BG75" s="336"/>
      <c r="BV75" s="336"/>
    </row>
    <row r="76" spans="1:74">
      <c r="N76" s="187"/>
      <c r="Q76" s="321"/>
      <c r="AZ76" s="187"/>
      <c r="BG76" s="336"/>
      <c r="BV76" s="336"/>
    </row>
    <row r="77" spans="1:74">
      <c r="N77" s="187"/>
      <c r="Q77" s="321"/>
      <c r="AZ77" s="187"/>
      <c r="BG77" s="336"/>
      <c r="BV77" s="336"/>
    </row>
    <row r="78" spans="1:74">
      <c r="N78" s="187"/>
      <c r="Q78" s="321"/>
      <c r="AZ78" s="187"/>
      <c r="BG78" s="336"/>
      <c r="BV78" s="336"/>
    </row>
    <row r="79" spans="1:74">
      <c r="N79" s="187"/>
      <c r="Q79" s="321"/>
      <c r="AZ79" s="187"/>
      <c r="BG79" s="336"/>
      <c r="BV79" s="336"/>
    </row>
    <row r="80" spans="1:74">
      <c r="N80" s="187"/>
      <c r="Q80" s="321"/>
      <c r="AZ80" s="187"/>
      <c r="BG80" s="336"/>
      <c r="BV80" s="336"/>
    </row>
    <row r="81" spans="6:74">
      <c r="F81" s="444"/>
      <c r="G81" s="444"/>
      <c r="N81" s="187"/>
      <c r="Q81" s="321"/>
      <c r="AZ81" s="187"/>
      <c r="BG81" s="336"/>
      <c r="BV81" s="336"/>
    </row>
    <row r="82" spans="6:74">
      <c r="N82" s="187"/>
      <c r="Q82" s="321"/>
      <c r="AZ82" s="187"/>
      <c r="BG82" s="336"/>
      <c r="BV82" s="336"/>
    </row>
    <row r="83" spans="6:74">
      <c r="N83" s="187"/>
      <c r="Q83" s="321"/>
      <c r="AZ83" s="187"/>
      <c r="BG83" s="336"/>
      <c r="BV83" s="336"/>
    </row>
    <row r="84" spans="6:74">
      <c r="N84" s="187"/>
      <c r="Q84" s="321"/>
      <c r="AZ84" s="187"/>
      <c r="BG84" s="336"/>
      <c r="BV84" s="336"/>
    </row>
    <row r="85" spans="6:74">
      <c r="N85" s="187"/>
      <c r="Q85" s="321"/>
      <c r="AZ85" s="187"/>
      <c r="BG85" s="336"/>
      <c r="BV85" s="336"/>
    </row>
    <row r="86" spans="6:74">
      <c r="N86" s="187"/>
      <c r="Q86" s="321"/>
      <c r="AZ86" s="187"/>
      <c r="BG86" s="336"/>
      <c r="BV86" s="336"/>
    </row>
    <row r="87" spans="6:74">
      <c r="N87" s="187"/>
      <c r="Q87" s="321"/>
      <c r="AZ87" s="187"/>
      <c r="BG87" s="336"/>
      <c r="BV87" s="336"/>
    </row>
    <row r="88" spans="6:74">
      <c r="N88" s="187"/>
      <c r="Q88" s="321"/>
      <c r="AZ88" s="187"/>
      <c r="BG88" s="336"/>
      <c r="BV88" s="336"/>
    </row>
    <row r="89" spans="6:74">
      <c r="N89" s="187"/>
      <c r="Q89" s="321"/>
      <c r="AZ89" s="187"/>
      <c r="BG89" s="336"/>
      <c r="BV89" s="336"/>
    </row>
    <row r="90" spans="6:74">
      <c r="N90" s="187"/>
      <c r="Q90" s="321"/>
      <c r="AZ90" s="187"/>
      <c r="BG90" s="336"/>
      <c r="BV90" s="336"/>
    </row>
    <row r="91" spans="6:74">
      <c r="N91" s="187"/>
      <c r="Q91" s="321"/>
      <c r="AZ91" s="187"/>
      <c r="BG91" s="336"/>
      <c r="BV91" s="336"/>
    </row>
    <row r="92" spans="6:74">
      <c r="N92" s="187"/>
      <c r="Q92" s="321"/>
      <c r="AZ92" s="187"/>
      <c r="BG92" s="336"/>
      <c r="BV92" s="336"/>
    </row>
    <row r="93" spans="6:74">
      <c r="N93" s="187"/>
      <c r="Q93" s="321"/>
      <c r="AZ93" s="187"/>
      <c r="BG93" s="336"/>
      <c r="BV93" s="336"/>
    </row>
    <row r="94" spans="6:74">
      <c r="N94" s="187"/>
      <c r="Q94" s="321"/>
      <c r="AZ94" s="187"/>
      <c r="BG94" s="336"/>
      <c r="BV94" s="336"/>
    </row>
    <row r="95" spans="6:74">
      <c r="N95" s="187"/>
      <c r="Q95" s="321"/>
      <c r="AZ95" s="187"/>
      <c r="BG95" s="336"/>
      <c r="BV95" s="336"/>
    </row>
    <row r="96" spans="6:74">
      <c r="N96" s="187"/>
      <c r="Q96" s="321"/>
      <c r="AZ96" s="187"/>
      <c r="BG96" s="336"/>
      <c r="BV96" s="336"/>
    </row>
    <row r="97" spans="1:74">
      <c r="N97" s="187"/>
      <c r="Q97" s="321"/>
      <c r="AZ97" s="187"/>
      <c r="BG97" s="336"/>
      <c r="BV97" s="336"/>
    </row>
    <row r="98" spans="1:74">
      <c r="N98" s="187"/>
      <c r="Q98" s="321"/>
      <c r="AZ98" s="187"/>
      <c r="BG98" s="336"/>
      <c r="BV98" s="336"/>
    </row>
    <row r="99" spans="1:74">
      <c r="N99" s="187"/>
      <c r="Q99" s="321"/>
      <c r="AZ99" s="187"/>
      <c r="BG99" s="336"/>
      <c r="BV99" s="336"/>
    </row>
    <row r="100" spans="1:74">
      <c r="N100" s="187"/>
      <c r="Q100" s="321"/>
      <c r="AZ100" s="187"/>
      <c r="BG100" s="336"/>
      <c r="BV100" s="336"/>
    </row>
    <row r="101" spans="1:74">
      <c r="N101" s="187"/>
      <c r="Q101" s="321"/>
      <c r="AZ101" s="187"/>
      <c r="BG101" s="336"/>
      <c r="BV101" s="336"/>
    </row>
    <row r="102" spans="1:74">
      <c r="N102" s="187"/>
      <c r="Q102" s="321"/>
      <c r="AZ102" s="187"/>
      <c r="BG102" s="336"/>
      <c r="BV102" s="336"/>
    </row>
    <row r="103" spans="1:74">
      <c r="N103" s="187"/>
      <c r="Q103" s="321"/>
      <c r="AZ103" s="187"/>
      <c r="BG103" s="336"/>
      <c r="BV103" s="336"/>
    </row>
    <row r="104" spans="1:74">
      <c r="N104" s="187"/>
      <c r="Q104" s="321"/>
      <c r="AZ104" s="187"/>
      <c r="BG104" s="336"/>
      <c r="BV104" s="336"/>
    </row>
    <row r="105" spans="1:74">
      <c r="E105" s="490"/>
      <c r="N105" s="187"/>
      <c r="Q105" s="321"/>
      <c r="AZ105" s="187"/>
      <c r="BG105" s="336"/>
      <c r="BV105" s="336"/>
    </row>
    <row r="106" spans="1:74">
      <c r="N106" s="187"/>
      <c r="Q106" s="321"/>
      <c r="AZ106" s="187"/>
      <c r="BG106" s="336"/>
      <c r="BV106" s="336"/>
    </row>
    <row r="107" spans="1:74">
      <c r="N107" s="187"/>
      <c r="Q107" s="321"/>
      <c r="AZ107" s="187"/>
      <c r="BG107" s="336"/>
      <c r="BV107" s="336"/>
    </row>
    <row r="108" spans="1:74">
      <c r="N108" s="187"/>
      <c r="Q108" s="321"/>
      <c r="AZ108" s="187"/>
      <c r="BG108" s="336"/>
      <c r="BV108" s="336"/>
    </row>
    <row r="109" spans="1:74">
      <c r="N109" s="187"/>
      <c r="Q109" s="321"/>
      <c r="AZ109" s="187"/>
      <c r="BG109" s="336"/>
      <c r="BV109" s="336"/>
    </row>
    <row r="110" spans="1:74">
      <c r="N110" s="187"/>
      <c r="Q110" s="321"/>
      <c r="AZ110" s="187"/>
      <c r="BG110" s="336"/>
      <c r="BV110" s="336"/>
    </row>
    <row r="111" spans="1:74">
      <c r="A111" s="44"/>
      <c r="B111" s="185"/>
      <c r="N111" s="187"/>
      <c r="Q111" s="321"/>
      <c r="AZ111" s="187"/>
      <c r="BG111" s="336"/>
      <c r="BV111" s="336"/>
    </row>
    <row r="112" spans="1:74">
      <c r="N112" s="187"/>
      <c r="Q112" s="321"/>
      <c r="AZ112" s="187"/>
      <c r="BG112" s="336"/>
      <c r="BV112" s="336"/>
    </row>
    <row r="113" spans="1:74">
      <c r="N113" s="187"/>
      <c r="Q113" s="321"/>
      <c r="AZ113" s="187"/>
      <c r="BG113" s="336"/>
      <c r="BV113" s="336"/>
    </row>
    <row r="114" spans="1:74">
      <c r="N114" s="187"/>
      <c r="Q114" s="321"/>
      <c r="AZ114" s="187"/>
      <c r="BG114" s="336"/>
      <c r="BV114" s="336"/>
    </row>
    <row r="115" spans="1:74">
      <c r="N115" s="187"/>
      <c r="Q115" s="321"/>
      <c r="AZ115" s="187"/>
      <c r="BG115" s="336"/>
      <c r="BV115" s="336"/>
    </row>
    <row r="116" spans="1:74">
      <c r="N116" s="187"/>
      <c r="Q116" s="321"/>
      <c r="AZ116" s="187"/>
      <c r="BG116" s="336"/>
      <c r="BV116" s="336"/>
    </row>
    <row r="117" spans="1:74">
      <c r="N117" s="187"/>
      <c r="Q117" s="321"/>
      <c r="AZ117" s="187"/>
      <c r="BG117" s="336"/>
      <c r="BV117" s="336"/>
    </row>
    <row r="118" spans="1:74">
      <c r="N118" s="187"/>
      <c r="Q118" s="321"/>
      <c r="AZ118" s="187"/>
      <c r="BG118" s="336"/>
      <c r="BV118" s="336"/>
    </row>
    <row r="119" spans="1:74">
      <c r="N119" s="187"/>
      <c r="Q119" s="321"/>
      <c r="AZ119" s="187"/>
      <c r="BG119" s="336"/>
      <c r="BV119" s="336"/>
    </row>
    <row r="120" spans="1:74">
      <c r="N120" s="187"/>
      <c r="Q120" s="321"/>
      <c r="AZ120" s="187"/>
      <c r="BG120" s="336"/>
      <c r="BV120" s="336"/>
    </row>
    <row r="121" spans="1:74">
      <c r="N121" s="187"/>
      <c r="Q121" s="321"/>
      <c r="AZ121" s="187"/>
      <c r="BG121" s="336"/>
      <c r="BV121" s="336"/>
    </row>
    <row r="122" spans="1:74">
      <c r="N122" s="187"/>
      <c r="Q122" s="321"/>
      <c r="AZ122" s="187"/>
      <c r="BG122" s="336"/>
      <c r="BV122" s="336"/>
    </row>
    <row r="123" spans="1:74">
      <c r="N123" s="187"/>
      <c r="Q123" s="321"/>
      <c r="AZ123" s="187"/>
      <c r="BG123" s="336"/>
      <c r="BV123" s="336"/>
    </row>
    <row r="124" spans="1:74">
      <c r="N124" s="187"/>
      <c r="Q124" s="321"/>
      <c r="AZ124" s="187"/>
      <c r="BG124" s="336"/>
      <c r="BV124" s="336"/>
    </row>
    <row r="125" spans="1:74">
      <c r="N125" s="187"/>
      <c r="Q125" s="321"/>
      <c r="AZ125" s="187"/>
      <c r="BG125" s="336"/>
      <c r="BV125" s="336"/>
    </row>
    <row r="126" spans="1:74">
      <c r="N126" s="187"/>
      <c r="Q126" s="321"/>
      <c r="AZ126" s="187"/>
      <c r="BG126" s="336"/>
      <c r="BV126" s="336"/>
    </row>
    <row r="127" spans="1:74">
      <c r="N127" s="187"/>
      <c r="Q127" s="321"/>
      <c r="AZ127" s="187"/>
      <c r="BG127" s="336"/>
      <c r="BV127" s="336"/>
    </row>
    <row r="128" spans="1:74">
      <c r="A128" s="185"/>
      <c r="N128" s="187"/>
      <c r="Q128" s="321"/>
      <c r="AZ128" s="187"/>
      <c r="BG128" s="336"/>
      <c r="BV128" s="336"/>
    </row>
    <row r="129" spans="1:74">
      <c r="A129" s="185"/>
      <c r="N129" s="187"/>
      <c r="Q129" s="321"/>
      <c r="AZ129" s="187"/>
      <c r="BG129" s="336"/>
      <c r="BV129" s="336"/>
    </row>
    <row r="130" spans="1:74">
      <c r="A130" s="185"/>
      <c r="B130" s="185"/>
      <c r="N130" s="187"/>
      <c r="Q130" s="321"/>
      <c r="AZ130" s="187"/>
      <c r="BG130" s="336"/>
      <c r="BV130" s="336"/>
    </row>
    <row r="131" spans="1:74">
      <c r="N131" s="187"/>
      <c r="Q131" s="321"/>
      <c r="AZ131" s="187"/>
      <c r="BG131" s="336"/>
      <c r="BV131" s="336"/>
    </row>
    <row r="132" spans="1:74">
      <c r="A132" s="185"/>
      <c r="B132" s="185"/>
      <c r="N132" s="187"/>
      <c r="Q132" s="321"/>
      <c r="AZ132" s="187"/>
      <c r="BG132" s="336"/>
      <c r="BV132" s="336"/>
    </row>
    <row r="133" spans="1:74">
      <c r="N133" s="187"/>
      <c r="Q133" s="321"/>
      <c r="AZ133" s="187"/>
      <c r="BG133" s="336"/>
      <c r="BV133" s="336"/>
    </row>
    <row r="134" spans="1:74">
      <c r="A134" s="185"/>
      <c r="B134" s="185"/>
      <c r="N134" s="187"/>
      <c r="Q134" s="321"/>
      <c r="AZ134" s="187"/>
      <c r="BG134" s="336"/>
      <c r="BV134" s="336"/>
    </row>
    <row r="135" spans="1:74">
      <c r="N135" s="187"/>
      <c r="Q135" s="321"/>
      <c r="AZ135" s="187"/>
      <c r="BG135" s="336"/>
      <c r="BV135" s="336"/>
    </row>
    <row r="136" spans="1:74">
      <c r="A136" s="185"/>
      <c r="B136" s="185"/>
      <c r="N136" s="187"/>
      <c r="Q136" s="321"/>
      <c r="AZ136" s="187"/>
      <c r="BG136" s="336"/>
      <c r="BV136" s="336"/>
    </row>
    <row r="137" spans="1:74">
      <c r="N137" s="187"/>
      <c r="Q137" s="321"/>
      <c r="AZ137" s="187"/>
      <c r="BG137" s="336"/>
      <c r="BV137" s="336"/>
    </row>
    <row r="138" spans="1:74">
      <c r="A138" s="185"/>
      <c r="B138" s="185"/>
      <c r="N138" s="187"/>
      <c r="Q138" s="321"/>
      <c r="AZ138" s="187"/>
      <c r="BG138" s="336"/>
      <c r="BV138" s="336"/>
    </row>
    <row r="139" spans="1:74">
      <c r="N139" s="187"/>
      <c r="Q139" s="321"/>
      <c r="AZ139" s="187"/>
      <c r="BG139" s="336"/>
      <c r="BV139" s="336"/>
    </row>
    <row r="140" spans="1:74">
      <c r="A140" s="185"/>
      <c r="B140" s="185"/>
      <c r="N140" s="187"/>
      <c r="Q140" s="321"/>
      <c r="AZ140" s="187"/>
      <c r="BG140" s="336"/>
      <c r="BV140" s="336"/>
    </row>
    <row r="141" spans="1:74">
      <c r="N141" s="187"/>
      <c r="Q141" s="321"/>
      <c r="AZ141" s="187"/>
      <c r="BG141" s="336"/>
      <c r="BV141" s="336"/>
    </row>
    <row r="142" spans="1:74">
      <c r="A142" s="185"/>
      <c r="B142" s="185"/>
      <c r="N142" s="187"/>
      <c r="Q142" s="321"/>
      <c r="AZ142" s="187"/>
      <c r="BG142" s="336"/>
      <c r="BV142" s="336"/>
    </row>
    <row r="143" spans="1:74">
      <c r="N143" s="187"/>
      <c r="Q143" s="321"/>
      <c r="AZ143" s="187"/>
      <c r="BG143" s="336"/>
      <c r="BV143" s="336"/>
    </row>
    <row r="144" spans="1:74">
      <c r="A144" s="185"/>
      <c r="B144" s="185"/>
      <c r="N144" s="187"/>
      <c r="Q144" s="321"/>
      <c r="AZ144" s="187"/>
      <c r="BG144" s="336"/>
      <c r="BV144" s="336"/>
    </row>
    <row r="145" spans="1:74">
      <c r="N145" s="187"/>
      <c r="Q145" s="321"/>
      <c r="AZ145" s="187"/>
      <c r="BG145" s="336"/>
      <c r="BV145" s="336"/>
    </row>
    <row r="146" spans="1:74">
      <c r="N146" s="187"/>
      <c r="Q146" s="321"/>
      <c r="AZ146" s="187"/>
      <c r="BG146" s="336"/>
      <c r="BV146" s="336"/>
    </row>
    <row r="147" spans="1:74">
      <c r="N147" s="187"/>
      <c r="Q147" s="321"/>
      <c r="AZ147" s="187"/>
      <c r="BG147" s="336"/>
      <c r="BV147" s="336"/>
    </row>
    <row r="148" spans="1:74">
      <c r="A148" s="185"/>
      <c r="N148" s="187"/>
      <c r="Q148" s="321"/>
      <c r="AZ148" s="187"/>
      <c r="BG148" s="336"/>
      <c r="BV148" s="336"/>
    </row>
    <row r="149" spans="1:74">
      <c r="A149" s="185"/>
      <c r="N149" s="187"/>
      <c r="Q149" s="321"/>
      <c r="AZ149" s="187"/>
      <c r="BG149" s="336"/>
      <c r="BV149" s="336"/>
    </row>
    <row r="150" spans="1:74">
      <c r="A150" s="185"/>
      <c r="B150" s="185"/>
      <c r="N150" s="187"/>
      <c r="Q150" s="321"/>
      <c r="AZ150" s="187"/>
      <c r="BG150" s="336"/>
      <c r="BV150" s="336"/>
    </row>
    <row r="151" spans="1:74">
      <c r="B151" s="185"/>
      <c r="N151" s="187"/>
      <c r="Q151" s="321"/>
      <c r="AZ151" s="187"/>
      <c r="BG151" s="336"/>
      <c r="BV151" s="336"/>
    </row>
    <row r="152" spans="1:74">
      <c r="B152" s="185"/>
      <c r="N152" s="187"/>
      <c r="Q152" s="321"/>
      <c r="AZ152" s="187"/>
      <c r="BG152" s="336"/>
      <c r="BV152" s="336"/>
    </row>
    <row r="153" spans="1:74">
      <c r="B153" s="185"/>
      <c r="N153" s="187"/>
      <c r="Q153" s="321"/>
      <c r="AZ153" s="187"/>
      <c r="BG153" s="336"/>
      <c r="BV153" s="336"/>
    </row>
    <row r="154" spans="1:74">
      <c r="B154" s="185"/>
      <c r="N154" s="187"/>
      <c r="Q154" s="321"/>
      <c r="AZ154" s="187"/>
      <c r="BG154" s="336"/>
      <c r="BV154" s="336"/>
    </row>
    <row r="155" spans="1:74">
      <c r="B155" s="185"/>
      <c r="N155" s="187"/>
      <c r="Q155" s="321"/>
      <c r="AZ155" s="187"/>
      <c r="BG155" s="336"/>
      <c r="BV155" s="336"/>
    </row>
    <row r="156" spans="1:74">
      <c r="B156" s="185"/>
      <c r="N156" s="187"/>
      <c r="Q156" s="321"/>
      <c r="AZ156" s="187"/>
      <c r="BG156" s="336"/>
      <c r="BV156" s="336"/>
    </row>
    <row r="157" spans="1:74">
      <c r="B157" s="185"/>
      <c r="N157" s="187"/>
      <c r="Q157" s="321"/>
      <c r="AZ157" s="187"/>
      <c r="BG157" s="336"/>
      <c r="BV157" s="336"/>
    </row>
    <row r="158" spans="1:74">
      <c r="N158" s="187"/>
      <c r="Q158" s="321"/>
      <c r="AZ158" s="187"/>
      <c r="BG158" s="336"/>
      <c r="BV158" s="336"/>
    </row>
    <row r="159" spans="1:74">
      <c r="N159" s="187"/>
      <c r="Q159" s="321"/>
      <c r="AZ159" s="187"/>
      <c r="BG159" s="336"/>
      <c r="BV159" s="336"/>
    </row>
    <row r="160" spans="1:74">
      <c r="N160" s="187"/>
      <c r="Q160" s="321"/>
      <c r="AZ160" s="187"/>
      <c r="BG160" s="336"/>
      <c r="BV160" s="336"/>
    </row>
    <row r="161" spans="1:74">
      <c r="A161" s="185"/>
      <c r="B161" s="185"/>
      <c r="N161" s="187"/>
      <c r="Q161" s="321"/>
      <c r="AZ161" s="187"/>
      <c r="BG161" s="336"/>
      <c r="BV161" s="336"/>
    </row>
    <row r="162" spans="1:74">
      <c r="B162" s="185"/>
      <c r="N162" s="187"/>
      <c r="Q162" s="321"/>
      <c r="AZ162" s="187"/>
      <c r="BG162" s="336"/>
      <c r="BV162" s="336"/>
    </row>
    <row r="163" spans="1:74">
      <c r="N163" s="187"/>
      <c r="Q163" s="321"/>
      <c r="AZ163" s="187"/>
      <c r="BG163" s="336"/>
      <c r="BV163" s="336"/>
    </row>
    <row r="164" spans="1:74">
      <c r="N164" s="187"/>
      <c r="Q164" s="321"/>
      <c r="AZ164" s="187"/>
      <c r="BG164" s="336"/>
      <c r="BV164" s="336"/>
    </row>
    <row r="165" spans="1:74">
      <c r="N165" s="187"/>
      <c r="Q165" s="321"/>
      <c r="AZ165" s="187"/>
      <c r="BG165" s="336"/>
      <c r="BV165" s="336"/>
    </row>
    <row r="166" spans="1:74">
      <c r="N166" s="187"/>
      <c r="Q166" s="321"/>
      <c r="AZ166" s="187"/>
      <c r="BG166" s="336"/>
      <c r="BV166" s="336"/>
    </row>
    <row r="167" spans="1:74">
      <c r="N167" s="187"/>
      <c r="Q167" s="321"/>
      <c r="AZ167" s="187"/>
      <c r="BG167" s="336"/>
      <c r="BV167" s="336"/>
    </row>
    <row r="168" spans="1:74">
      <c r="A168" s="185"/>
      <c r="N168" s="187"/>
      <c r="Q168" s="321"/>
      <c r="AZ168" s="187"/>
      <c r="BG168" s="336"/>
      <c r="BV168" s="336"/>
    </row>
    <row r="169" spans="1:74">
      <c r="A169" s="185"/>
      <c r="N169" s="187"/>
      <c r="Q169" s="321"/>
      <c r="AZ169" s="187"/>
      <c r="BG169" s="336"/>
      <c r="BV169" s="336"/>
    </row>
    <row r="170" spans="1:74">
      <c r="A170" s="185"/>
      <c r="B170" s="185"/>
      <c r="N170" s="187"/>
      <c r="Q170" s="321"/>
      <c r="AZ170" s="187"/>
      <c r="BG170" s="336"/>
      <c r="BV170" s="336"/>
    </row>
    <row r="171" spans="1:74">
      <c r="B171" s="185"/>
      <c r="N171" s="187"/>
      <c r="Q171" s="321"/>
      <c r="AZ171" s="187"/>
      <c r="BG171" s="336"/>
      <c r="BV171" s="336"/>
    </row>
    <row r="172" spans="1:74">
      <c r="A172" s="185"/>
      <c r="B172" s="185"/>
      <c r="N172" s="187"/>
      <c r="Q172" s="321"/>
      <c r="AZ172" s="187"/>
      <c r="BG172" s="336"/>
      <c r="BV172" s="336"/>
    </row>
    <row r="173" spans="1:74">
      <c r="AZ173" s="187"/>
      <c r="BC173" s="336"/>
    </row>
    <row r="174" spans="1:74">
      <c r="AZ174" s="187"/>
      <c r="BC174" s="336"/>
    </row>
    <row r="175" spans="1:74">
      <c r="AZ175" s="187"/>
      <c r="BC175" s="336"/>
    </row>
    <row r="176" spans="1:74">
      <c r="AZ176" s="187"/>
      <c r="BC176" s="336"/>
    </row>
    <row r="177" spans="55:55" s="187" customFormat="1">
      <c r="BC177" s="336"/>
    </row>
    <row r="178" spans="55:55" s="187" customFormat="1">
      <c r="BC178" s="336"/>
    </row>
    <row r="179" spans="55:55" s="187" customFormat="1">
      <c r="BC179" s="336"/>
    </row>
    <row r="180" spans="55:55" s="187" customFormat="1">
      <c r="BC180" s="336"/>
    </row>
    <row r="181" spans="55:55" s="187" customFormat="1">
      <c r="BC181" s="336"/>
    </row>
    <row r="182" spans="55:55" s="187" customFormat="1">
      <c r="BC182" s="336"/>
    </row>
    <row r="183" spans="55:55" s="187" customFormat="1">
      <c r="BC183" s="336"/>
    </row>
    <row r="184" spans="55:55" s="187" customFormat="1">
      <c r="BC184" s="336"/>
    </row>
    <row r="185" spans="55:55" s="187" customFormat="1">
      <c r="BC185" s="336"/>
    </row>
    <row r="186" spans="55:55" s="187" customFormat="1">
      <c r="BC186" s="336"/>
    </row>
    <row r="187" spans="55:55" s="187" customFormat="1">
      <c r="BC187" s="336"/>
    </row>
    <row r="188" spans="55:55" s="187" customFormat="1">
      <c r="BC188" s="336"/>
    </row>
    <row r="189" spans="55:55" s="187" customFormat="1">
      <c r="BC189" s="336"/>
    </row>
    <row r="190" spans="55:55" s="187" customFormat="1">
      <c r="BC190" s="336"/>
    </row>
    <row r="191" spans="55:55" s="187" customFormat="1">
      <c r="BC191" s="336"/>
    </row>
    <row r="192" spans="55:55" s="187" customFormat="1">
      <c r="BC192" s="336"/>
    </row>
    <row r="193" spans="55:55" s="187" customFormat="1">
      <c r="BC193" s="336"/>
    </row>
    <row r="194" spans="55:55" s="187" customFormat="1">
      <c r="BC194" s="336"/>
    </row>
    <row r="195" spans="55:55" s="187" customFormat="1">
      <c r="BC195" s="336"/>
    </row>
    <row r="196" spans="55:55" s="187" customFormat="1">
      <c r="BC196" s="336"/>
    </row>
    <row r="197" spans="55:55" s="187" customFormat="1">
      <c r="BC197" s="336"/>
    </row>
    <row r="198" spans="55:55" s="187" customFormat="1">
      <c r="BC198" s="336"/>
    </row>
    <row r="199" spans="55:55" s="187" customFormat="1">
      <c r="BC199" s="336"/>
    </row>
    <row r="200" spans="55:55" s="187" customFormat="1">
      <c r="BC200" s="336"/>
    </row>
    <row r="201" spans="55:55" s="187" customFormat="1">
      <c r="BC201" s="336"/>
    </row>
    <row r="202" spans="55:55" s="187" customFormat="1">
      <c r="BC202" s="336"/>
    </row>
    <row r="203" spans="55:55" s="187" customFormat="1">
      <c r="BC203" s="336"/>
    </row>
    <row r="204" spans="55:55" s="187" customFormat="1">
      <c r="BC204" s="336"/>
    </row>
    <row r="205" spans="55:55" s="187" customFormat="1">
      <c r="BC205" s="336"/>
    </row>
    <row r="206" spans="55:55" s="187" customFormat="1">
      <c r="BC206" s="336"/>
    </row>
    <row r="207" spans="55:55" s="187" customFormat="1">
      <c r="BC207" s="336"/>
    </row>
    <row r="208" spans="55:55" s="187" customFormat="1">
      <c r="BC208" s="336"/>
    </row>
    <row r="209" spans="55:55" s="187" customFormat="1">
      <c r="BC209" s="336"/>
    </row>
    <row r="210" spans="55:55" s="187" customFormat="1">
      <c r="BC210" s="336"/>
    </row>
    <row r="211" spans="55:55" s="187" customFormat="1">
      <c r="BC211" s="336"/>
    </row>
    <row r="212" spans="55:55" s="187" customFormat="1">
      <c r="BC212" s="336"/>
    </row>
    <row r="213" spans="55:55" s="187" customFormat="1">
      <c r="BC213" s="336"/>
    </row>
    <row r="214" spans="55:55" s="187" customFormat="1">
      <c r="BC214" s="336"/>
    </row>
  </sheetData>
  <printOptions horizontalCentered="1"/>
  <pageMargins left="0.28999999999999998" right="0.22" top="0.75" bottom="0.35" header="0.3" footer="0.17"/>
  <pageSetup scale="83" orientation="landscape" r:id="rId1"/>
  <headerFooter>
    <oddFooter>&amp;C&amp;P</oddFooter>
  </headerFooter>
  <colBreaks count="5" manualBreakCount="5">
    <brk id="9" max="51" man="1"/>
    <brk id="29" max="51" man="1"/>
    <brk id="41" max="51" man="1"/>
    <brk id="58" max="51" man="1"/>
    <brk id="73" max="51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214"/>
  <sheetViews>
    <sheetView showGridLines="0" topLeftCell="BF1" zoomScaleNormal="100" workbookViewId="0">
      <selection activeCell="CP45" sqref="CP45"/>
    </sheetView>
  </sheetViews>
  <sheetFormatPr defaultColWidth="10.6640625" defaultRowHeight="13.2"/>
  <cols>
    <col min="1" max="1" width="29.33203125" style="187" customWidth="1"/>
    <col min="2" max="2" width="11.109375" style="187" customWidth="1"/>
    <col min="3" max="3" width="13" style="187" customWidth="1"/>
    <col min="4" max="4" width="4.6640625" style="187" customWidth="1"/>
    <col min="5" max="5" width="44.88671875" style="187" customWidth="1"/>
    <col min="6" max="6" width="9.109375" style="187" bestFit="1" customWidth="1"/>
    <col min="7" max="8" width="11.6640625" style="187" bestFit="1" customWidth="1"/>
    <col min="9" max="9" width="3.6640625" style="187" customWidth="1"/>
    <col min="10" max="10" width="2.88671875" style="187" customWidth="1"/>
    <col min="11" max="11" width="4" style="187" customWidth="1"/>
    <col min="12" max="12" width="10.33203125" style="187" customWidth="1"/>
    <col min="13" max="13" width="9" style="187" customWidth="1"/>
    <col min="14" max="14" width="10.44140625" style="321" bestFit="1" customWidth="1"/>
    <col min="15" max="15" width="10.44140625" style="187" bestFit="1" customWidth="1"/>
    <col min="16" max="17" width="7.6640625" style="187" bestFit="1" customWidth="1"/>
    <col min="18" max="18" width="7.44140625" style="187" bestFit="1" customWidth="1"/>
    <col min="19" max="19" width="9.33203125" style="187" bestFit="1" customWidth="1"/>
    <col min="20" max="20" width="7.88671875" style="187" bestFit="1" customWidth="1"/>
    <col min="21" max="22" width="9.109375" style="187" bestFit="1" customWidth="1"/>
    <col min="23" max="23" width="10.33203125" style="187" bestFit="1" customWidth="1"/>
    <col min="24" max="24" width="8.88671875" style="187" customWidth="1"/>
    <col min="25" max="25" width="8" style="187" bestFit="1" customWidth="1"/>
    <col min="26" max="26" width="8.109375" style="187" bestFit="1" customWidth="1"/>
    <col min="27" max="27" width="9.33203125" style="187" customWidth="1"/>
    <col min="28" max="28" width="9.109375" style="187" bestFit="1" customWidth="1"/>
    <col min="29" max="29" width="3.5546875" style="187" customWidth="1"/>
    <col min="30" max="30" width="2.88671875" style="187" customWidth="1"/>
    <col min="31" max="31" width="7.88671875" style="187" customWidth="1"/>
    <col min="32" max="32" width="12.6640625" style="187" customWidth="1"/>
    <col min="33" max="33" width="10.109375" style="187" customWidth="1"/>
    <col min="34" max="34" width="9.109375" style="187" bestFit="1" customWidth="1"/>
    <col min="35" max="35" width="2.6640625" style="187" customWidth="1"/>
    <col min="36" max="36" width="8" style="187" bestFit="1" customWidth="1"/>
    <col min="37" max="37" width="8.109375" style="187" bestFit="1" customWidth="1"/>
    <col min="38" max="38" width="9.5546875" style="187" customWidth="1"/>
    <col min="39" max="39" width="2.6640625" style="187" customWidth="1"/>
    <col min="40" max="40" width="9.109375" style="187" bestFit="1" customWidth="1"/>
    <col min="41" max="41" width="3.88671875" style="187" customWidth="1"/>
    <col min="42" max="42" width="3.33203125" style="187" customWidth="1"/>
    <col min="43" max="43" width="7.88671875" style="187" customWidth="1"/>
    <col min="44" max="44" width="8.44140625" style="187" bestFit="1" customWidth="1"/>
    <col min="45" max="45" width="9.109375" style="187" bestFit="1" customWidth="1"/>
    <col min="46" max="47" width="8.33203125" style="187" bestFit="1" customWidth="1"/>
    <col min="48" max="49" width="12.5546875" style="187" bestFit="1" customWidth="1"/>
    <col min="50" max="50" width="11.109375" style="187" hidden="1" customWidth="1"/>
    <col min="51" max="51" width="2.6640625" style="187" hidden="1" customWidth="1"/>
    <col min="52" max="52" width="10.109375" style="336" customWidth="1"/>
    <col min="53" max="53" width="2.6640625" style="187" customWidth="1"/>
    <col min="54" max="54" width="8.109375" style="187" bestFit="1" customWidth="1"/>
    <col min="55" max="55" width="11.109375" style="187" bestFit="1" customWidth="1"/>
    <col min="56" max="56" width="8.109375" style="187" bestFit="1" customWidth="1"/>
    <col min="57" max="57" width="9.109375" style="187" bestFit="1" customWidth="1"/>
    <col min="58" max="58" width="3.6640625" style="187" customWidth="1"/>
    <col min="59" max="59" width="2.88671875" style="187" customWidth="1"/>
    <col min="60" max="60" width="9.88671875" style="187" customWidth="1"/>
    <col min="61" max="61" width="9.88671875" style="187" bestFit="1" customWidth="1"/>
    <col min="62" max="62" width="9.33203125" style="187" bestFit="1" customWidth="1"/>
    <col min="63" max="63" width="8.109375" style="187" bestFit="1" customWidth="1"/>
    <col min="64" max="64" width="7.44140625" style="187" bestFit="1" customWidth="1"/>
    <col min="65" max="65" width="10.109375" style="187" bestFit="1" customWidth="1"/>
    <col min="66" max="66" width="8.33203125" style="187" bestFit="1" customWidth="1"/>
    <col min="67" max="67" width="10.88671875" style="187" hidden="1" customWidth="1"/>
    <col min="68" max="68" width="9.109375" style="187" bestFit="1" customWidth="1"/>
    <col min="69" max="69" width="2.6640625" style="187" customWidth="1"/>
    <col min="70" max="70" width="9.88671875" style="187" bestFit="1" customWidth="1"/>
    <col min="71" max="71" width="2.6640625" style="187" customWidth="1"/>
    <col min="72" max="72" width="9.109375" style="187" bestFit="1" customWidth="1"/>
    <col min="73" max="73" width="3.6640625" style="187" customWidth="1"/>
    <col min="74" max="74" width="3.5546875" style="187" customWidth="1"/>
    <col min="75" max="75" width="7.33203125" style="187" customWidth="1"/>
    <col min="76" max="76" width="9.88671875" style="187" bestFit="1" customWidth="1"/>
    <col min="77" max="77" width="9.88671875" style="187" customWidth="1"/>
    <col min="78" max="78" width="8.33203125" style="187" bestFit="1" customWidth="1"/>
    <col min="79" max="79" width="9.109375" style="187" bestFit="1" customWidth="1"/>
    <col min="80" max="80" width="2.6640625" style="187" customWidth="1"/>
    <col min="81" max="81" width="8.109375" style="187" bestFit="1" customWidth="1"/>
    <col min="82" max="82" width="11.109375" style="187" bestFit="1" customWidth="1"/>
    <col min="83" max="83" width="8.109375" style="187" bestFit="1" customWidth="1"/>
    <col min="84" max="84" width="2.6640625" style="187" customWidth="1"/>
    <col min="85" max="85" width="9.109375" style="187" bestFit="1" customWidth="1"/>
    <col min="86" max="86" width="8.6640625" style="187" customWidth="1"/>
    <col min="87" max="88" width="10.6640625" style="187" customWidth="1"/>
    <col min="89" max="89" width="1.6640625" style="187" customWidth="1"/>
    <col min="90" max="93" width="8.6640625" style="187" customWidth="1"/>
    <col min="94" max="94" width="1.6640625" style="187" customWidth="1"/>
    <col min="95" max="95" width="9.6640625" style="187" customWidth="1"/>
    <col min="96" max="96" width="2.6640625" style="187" customWidth="1"/>
    <col min="97" max="97" width="10.6640625" style="187" customWidth="1"/>
    <col min="98" max="98" width="8.6640625" style="187" customWidth="1"/>
    <col min="99" max="99" width="9.6640625" style="187" customWidth="1"/>
    <col min="100" max="246" width="8.6640625" style="187" customWidth="1"/>
    <col min="247" max="16384" width="10.6640625" style="187"/>
  </cols>
  <sheetData>
    <row r="1" spans="1:106">
      <c r="A1" s="55" t="s">
        <v>109</v>
      </c>
      <c r="B1" s="55"/>
      <c r="C1" s="56"/>
      <c r="D1" s="55"/>
      <c r="E1" s="56"/>
      <c r="F1" s="55"/>
      <c r="G1" s="55"/>
      <c r="H1" s="332"/>
      <c r="K1" s="1" t="s">
        <v>1</v>
      </c>
      <c r="M1" s="333"/>
      <c r="N1" s="187"/>
      <c r="R1" s="321"/>
      <c r="T1" s="185"/>
      <c r="U1" s="185"/>
      <c r="AD1" s="1" t="s">
        <v>2</v>
      </c>
      <c r="AF1" s="333"/>
      <c r="AG1" s="185"/>
      <c r="AP1" s="1" t="s">
        <v>3</v>
      </c>
      <c r="AR1" s="333"/>
      <c r="AZ1" s="187"/>
      <c r="BC1" s="334"/>
      <c r="BG1" s="1" t="s">
        <v>4</v>
      </c>
      <c r="BJ1" s="185"/>
      <c r="BV1" s="1" t="s">
        <v>215</v>
      </c>
      <c r="BY1" s="185"/>
    </row>
    <row r="2" spans="1:106">
      <c r="A2" s="56" t="s">
        <v>108</v>
      </c>
      <c r="B2" s="55"/>
      <c r="C2" s="55"/>
      <c r="D2" s="55"/>
      <c r="E2" s="55"/>
      <c r="F2" s="55"/>
      <c r="G2" s="55"/>
      <c r="H2" s="332"/>
      <c r="K2" s="1" t="s">
        <v>5</v>
      </c>
      <c r="N2" s="187"/>
      <c r="R2" s="321"/>
      <c r="T2" s="185"/>
      <c r="U2" s="185"/>
      <c r="AD2" s="1" t="s">
        <v>6</v>
      </c>
      <c r="AG2" s="185"/>
      <c r="AP2" s="1" t="s">
        <v>7</v>
      </c>
      <c r="AZ2" s="187"/>
      <c r="BC2" s="334"/>
      <c r="BD2" s="334"/>
      <c r="BG2" s="1" t="s">
        <v>8</v>
      </c>
      <c r="BJ2" s="185"/>
      <c r="BO2" s="185"/>
      <c r="BV2" s="1" t="s">
        <v>216</v>
      </c>
      <c r="BY2" s="185"/>
    </row>
    <row r="3" spans="1:106">
      <c r="B3" s="335"/>
      <c r="C3" s="335"/>
      <c r="N3" s="187"/>
      <c r="R3" s="321"/>
      <c r="AZ3" s="187"/>
      <c r="BD3" s="334"/>
      <c r="BG3" s="336"/>
      <c r="BO3" s="185"/>
      <c r="BV3" s="336"/>
    </row>
    <row r="4" spans="1:106">
      <c r="A4" s="337" t="s">
        <v>9</v>
      </c>
      <c r="B4" s="7" t="s">
        <v>94</v>
      </c>
      <c r="K4" s="185" t="s">
        <v>9</v>
      </c>
      <c r="M4" s="10" t="str">
        <f>B4</f>
        <v>Montana-Dakota Utilities Co.</v>
      </c>
      <c r="N4" s="187"/>
      <c r="R4" s="321"/>
      <c r="S4" s="166"/>
      <c r="AD4" s="185" t="s">
        <v>9</v>
      </c>
      <c r="AF4" s="10" t="str">
        <f>B4</f>
        <v>Montana-Dakota Utilities Co.</v>
      </c>
      <c r="AP4" s="185" t="s">
        <v>11</v>
      </c>
      <c r="AR4" s="10" t="str">
        <f>AF4</f>
        <v>Montana-Dakota Utilities Co.</v>
      </c>
      <c r="AZ4" s="187"/>
      <c r="BH4" s="338" t="s">
        <v>11</v>
      </c>
      <c r="BI4" s="10" t="str">
        <f>AR4</f>
        <v>Montana-Dakota Utilities Co.</v>
      </c>
      <c r="BW4" s="338" t="s">
        <v>11</v>
      </c>
      <c r="BX4" s="10" t="str">
        <f>BI4</f>
        <v>Montana-Dakota Utilities Co.</v>
      </c>
    </row>
    <row r="5" spans="1:106">
      <c r="A5" s="337" t="s">
        <v>10</v>
      </c>
      <c r="B5" s="9" t="s">
        <v>267</v>
      </c>
      <c r="K5" s="185" t="s">
        <v>10</v>
      </c>
      <c r="M5" s="10" t="str">
        <f>$B$5</f>
        <v>Commercial 95+% AFUE Furnace - Replacement</v>
      </c>
      <c r="N5" s="187"/>
      <c r="R5" s="321"/>
      <c r="AD5" s="185" t="s">
        <v>10</v>
      </c>
      <c r="AF5" s="10" t="str">
        <f>$B$5</f>
        <v>Commercial 95+% AFUE Furnace - Replacement</v>
      </c>
      <c r="AP5" s="185" t="s">
        <v>12</v>
      </c>
      <c r="AR5" s="10" t="str">
        <f>$B$5</f>
        <v>Commercial 95+% AFUE Furnace - Replacement</v>
      </c>
      <c r="AZ5" s="187"/>
      <c r="BH5" s="338" t="s">
        <v>12</v>
      </c>
      <c r="BI5" s="10" t="str">
        <f>$B$5</f>
        <v>Commercial 95+% AFUE Furnace - Replacement</v>
      </c>
      <c r="BW5" s="338" t="s">
        <v>12</v>
      </c>
      <c r="BX5" s="10" t="str">
        <f>$B$5</f>
        <v>Commercial 95+% AFUE Furnace - Replacement</v>
      </c>
    </row>
    <row r="6" spans="1:106">
      <c r="A6" s="337" t="s">
        <v>200</v>
      </c>
      <c r="B6" s="312" t="s">
        <v>346</v>
      </c>
      <c r="N6" s="187"/>
      <c r="R6" s="321"/>
      <c r="AZ6" s="187"/>
      <c r="BG6" s="336"/>
      <c r="BV6" s="336"/>
    </row>
    <row r="7" spans="1:106">
      <c r="M7" s="339"/>
      <c r="N7" s="47" t="s">
        <v>14</v>
      </c>
      <c r="O7" s="48"/>
      <c r="P7" s="48"/>
      <c r="Q7" s="48"/>
      <c r="R7" s="114"/>
      <c r="S7" s="48"/>
      <c r="T7" s="48"/>
      <c r="U7" s="48"/>
      <c r="V7" s="48"/>
      <c r="W7" s="339"/>
      <c r="X7" s="88" t="s">
        <v>15</v>
      </c>
      <c r="Y7" s="88"/>
      <c r="Z7" s="340"/>
      <c r="AA7" s="341"/>
      <c r="AB7" s="167"/>
      <c r="AC7" s="339"/>
      <c r="AD7" s="339"/>
      <c r="AE7" s="339"/>
      <c r="AF7" s="47" t="s">
        <v>14</v>
      </c>
      <c r="AG7" s="342"/>
      <c r="AH7" s="342"/>
      <c r="AI7" s="339"/>
      <c r="AJ7" s="88" t="s">
        <v>15</v>
      </c>
      <c r="AK7" s="88"/>
      <c r="AL7" s="88"/>
      <c r="AM7" s="339"/>
      <c r="AN7" s="343" t="s">
        <v>81</v>
      </c>
      <c r="AO7" s="339"/>
      <c r="AP7" s="339"/>
      <c r="AQ7" s="339"/>
      <c r="AR7" s="47" t="s">
        <v>14</v>
      </c>
      <c r="AS7" s="48"/>
      <c r="AT7" s="48"/>
      <c r="AU7" s="48"/>
      <c r="AV7" s="48"/>
      <c r="AW7" s="48"/>
      <c r="AX7" s="48"/>
      <c r="AY7" s="48"/>
      <c r="AZ7" s="48"/>
      <c r="BA7" s="339"/>
      <c r="BB7" s="88" t="s">
        <v>15</v>
      </c>
      <c r="BC7" s="88"/>
      <c r="BD7" s="89"/>
      <c r="BE7" s="75" t="s">
        <v>81</v>
      </c>
      <c r="BF7" s="339"/>
      <c r="BG7" s="198"/>
      <c r="BH7" s="339"/>
      <c r="BI7" s="47" t="s">
        <v>14</v>
      </c>
      <c r="BJ7" s="344"/>
      <c r="BK7" s="344"/>
      <c r="BL7" s="344"/>
      <c r="BM7" s="344"/>
      <c r="BN7" s="344"/>
      <c r="BO7" s="344"/>
      <c r="BP7" s="344"/>
      <c r="BQ7" s="339"/>
      <c r="BR7" s="126" t="s">
        <v>15</v>
      </c>
      <c r="BS7" s="125" t="s">
        <v>81</v>
      </c>
      <c r="BT7" s="339"/>
      <c r="BU7" s="339"/>
      <c r="BV7" s="198"/>
      <c r="BW7" s="339"/>
      <c r="BX7" s="47" t="s">
        <v>14</v>
      </c>
      <c r="BY7" s="344"/>
      <c r="BZ7" s="344"/>
      <c r="CA7" s="344"/>
      <c r="CB7" s="339"/>
      <c r="CC7" s="88" t="s">
        <v>15</v>
      </c>
      <c r="CD7" s="88"/>
      <c r="CE7" s="88"/>
      <c r="CF7" s="125" t="s">
        <v>81</v>
      </c>
      <c r="CG7" s="339"/>
    </row>
    <row r="8" spans="1:106">
      <c r="A8" s="345" t="s">
        <v>13</v>
      </c>
      <c r="B8" s="345"/>
      <c r="C8" s="346"/>
      <c r="E8" s="345"/>
      <c r="F8" s="184">
        <v>2015</v>
      </c>
      <c r="G8" s="167"/>
      <c r="H8" s="167"/>
      <c r="L8" s="339"/>
      <c r="M8" s="347"/>
      <c r="N8" s="347"/>
      <c r="O8" s="339"/>
      <c r="Q8" s="347"/>
      <c r="R8" s="348"/>
      <c r="S8" s="347"/>
      <c r="T8" s="347"/>
      <c r="U8" s="347"/>
      <c r="V8" s="347"/>
      <c r="W8" s="347"/>
      <c r="X8" s="347"/>
      <c r="Z8" s="347"/>
      <c r="AA8" s="167"/>
      <c r="AB8" s="167" t="s">
        <v>17</v>
      </c>
      <c r="AC8" s="339"/>
      <c r="AD8" s="339"/>
      <c r="AE8" s="339"/>
      <c r="AF8" s="347"/>
      <c r="AG8" s="347"/>
      <c r="AH8" s="347"/>
      <c r="AI8" s="339"/>
      <c r="AL8" s="339"/>
      <c r="AM8" s="347"/>
      <c r="AN8" s="167" t="s">
        <v>17</v>
      </c>
      <c r="AO8" s="339"/>
      <c r="AP8" s="339"/>
      <c r="AQ8" s="339"/>
      <c r="AR8" s="339"/>
      <c r="AS8" s="339"/>
      <c r="AT8" s="167" t="s">
        <v>24</v>
      </c>
      <c r="AU8" s="347"/>
      <c r="AV8" s="336"/>
      <c r="AW8" s="347"/>
      <c r="AX8" s="349"/>
      <c r="AY8" s="350"/>
      <c r="AZ8" s="347"/>
      <c r="BA8" s="347"/>
      <c r="BB8" s="347"/>
      <c r="BC8" s="347"/>
      <c r="BD8" s="347"/>
      <c r="BE8" s="167" t="s">
        <v>17</v>
      </c>
      <c r="BF8" s="339"/>
      <c r="BG8" s="198"/>
      <c r="BH8" s="167"/>
      <c r="BI8" s="167"/>
      <c r="BJ8" s="339"/>
      <c r="BK8" s="339"/>
      <c r="BL8" s="339"/>
      <c r="BN8" s="339"/>
      <c r="BO8" s="339"/>
      <c r="BP8" s="339"/>
      <c r="BQ8" s="339"/>
      <c r="BR8" s="339"/>
      <c r="BS8" s="339"/>
      <c r="BT8" s="167" t="s">
        <v>17</v>
      </c>
      <c r="BU8" s="339"/>
      <c r="BV8" s="198"/>
      <c r="BW8" s="167"/>
      <c r="BX8" s="167"/>
      <c r="BY8" s="339"/>
      <c r="BZ8" s="339"/>
      <c r="CA8" s="339"/>
      <c r="CB8" s="339"/>
      <c r="CC8" s="339"/>
      <c r="CD8" s="339"/>
      <c r="CE8" s="339"/>
      <c r="CF8" s="339"/>
      <c r="CG8" s="167" t="s">
        <v>17</v>
      </c>
      <c r="DA8" s="351"/>
      <c r="DB8" s="351"/>
    </row>
    <row r="9" spans="1:106">
      <c r="A9" s="185"/>
      <c r="E9" s="185"/>
      <c r="G9" s="339"/>
      <c r="H9" s="339"/>
      <c r="L9" s="339"/>
      <c r="M9" s="167" t="s">
        <v>20</v>
      </c>
      <c r="N9" s="167" t="s">
        <v>23</v>
      </c>
      <c r="O9" s="198" t="s">
        <v>23</v>
      </c>
      <c r="P9" s="352" t="s">
        <v>21</v>
      </c>
      <c r="Q9" s="352" t="s">
        <v>21</v>
      </c>
      <c r="R9" s="353" t="s">
        <v>20</v>
      </c>
      <c r="S9" s="354" t="s">
        <v>97</v>
      </c>
      <c r="T9" s="167" t="s">
        <v>31</v>
      </c>
      <c r="U9" s="353" t="s">
        <v>20</v>
      </c>
      <c r="V9" s="167"/>
      <c r="W9" s="354" t="s">
        <v>96</v>
      </c>
      <c r="X9" s="339"/>
      <c r="Y9" s="336" t="s">
        <v>35</v>
      </c>
      <c r="Z9" s="167"/>
      <c r="AA9" s="167" t="s">
        <v>20</v>
      </c>
      <c r="AB9" s="167" t="s">
        <v>14</v>
      </c>
      <c r="AC9" s="339"/>
      <c r="AD9" s="339"/>
      <c r="AE9" s="339"/>
      <c r="AF9" s="354" t="s">
        <v>20</v>
      </c>
      <c r="AG9" s="353" t="s">
        <v>20</v>
      </c>
      <c r="AH9" s="354" t="s">
        <v>17</v>
      </c>
      <c r="AI9" s="339"/>
      <c r="AJ9" s="336" t="s">
        <v>35</v>
      </c>
      <c r="AK9" s="167"/>
      <c r="AL9" s="167" t="s">
        <v>22</v>
      </c>
      <c r="AM9" s="339"/>
      <c r="AN9" s="167" t="s">
        <v>14</v>
      </c>
      <c r="AO9" s="339"/>
      <c r="AP9" s="339"/>
      <c r="AQ9" s="339"/>
      <c r="AR9" s="354" t="s">
        <v>20</v>
      </c>
      <c r="AS9" s="167" t="s">
        <v>20</v>
      </c>
      <c r="AT9" s="167" t="s">
        <v>36</v>
      </c>
      <c r="AU9" s="167" t="s">
        <v>24</v>
      </c>
      <c r="AV9" s="352" t="s">
        <v>37</v>
      </c>
      <c r="AW9" s="352" t="s">
        <v>37</v>
      </c>
      <c r="AX9" s="349"/>
      <c r="AY9" s="355"/>
      <c r="AZ9" s="167" t="s">
        <v>17</v>
      </c>
      <c r="BA9" s="339"/>
      <c r="BB9" s="167" t="s">
        <v>22</v>
      </c>
      <c r="BC9" s="167" t="s">
        <v>39</v>
      </c>
      <c r="BD9" s="198" t="s">
        <v>17</v>
      </c>
      <c r="BE9" s="167" t="s">
        <v>14</v>
      </c>
      <c r="BF9" s="339"/>
      <c r="BG9" s="198"/>
      <c r="BH9" s="167"/>
      <c r="BI9" s="167"/>
      <c r="BJ9" s="167" t="s">
        <v>20</v>
      </c>
      <c r="BK9" s="339"/>
      <c r="BL9" s="167" t="s">
        <v>23</v>
      </c>
      <c r="BM9" s="336" t="s">
        <v>24</v>
      </c>
      <c r="BN9" s="198" t="s">
        <v>24</v>
      </c>
      <c r="BO9" s="198"/>
      <c r="BP9" s="167" t="s">
        <v>20</v>
      </c>
      <c r="BQ9" s="339"/>
      <c r="BR9" s="167" t="s">
        <v>26</v>
      </c>
      <c r="BS9" s="198"/>
      <c r="BT9" s="167" t="s">
        <v>14</v>
      </c>
      <c r="BU9" s="339"/>
      <c r="BV9" s="198"/>
      <c r="BW9" s="167"/>
      <c r="BX9" s="167" t="s">
        <v>20</v>
      </c>
      <c r="BY9" s="167" t="s">
        <v>20</v>
      </c>
      <c r="BZ9" s="167" t="s">
        <v>24</v>
      </c>
      <c r="CA9" s="167" t="s">
        <v>20</v>
      </c>
      <c r="CB9" s="339"/>
      <c r="CC9" s="167" t="s">
        <v>22</v>
      </c>
      <c r="CD9" s="167" t="s">
        <v>39</v>
      </c>
      <c r="CE9" s="167"/>
      <c r="CF9" s="198"/>
      <c r="CG9" s="167" t="s">
        <v>14</v>
      </c>
    </row>
    <row r="10" spans="1:106">
      <c r="A10" s="185" t="s">
        <v>104</v>
      </c>
      <c r="C10" s="356">
        <f>+'Gas Input Table Summary'!$E$7</f>
        <v>5.5299999999999994</v>
      </c>
      <c r="D10" s="357"/>
      <c r="E10" s="185" t="s">
        <v>16</v>
      </c>
      <c r="G10" s="339"/>
      <c r="H10" s="339"/>
      <c r="J10" s="358"/>
      <c r="L10" s="339"/>
      <c r="M10" s="167" t="s">
        <v>28</v>
      </c>
      <c r="N10" s="167" t="s">
        <v>29</v>
      </c>
      <c r="O10" s="198" t="s">
        <v>29</v>
      </c>
      <c r="P10" s="352" t="s">
        <v>30</v>
      </c>
      <c r="Q10" s="352" t="s">
        <v>30</v>
      </c>
      <c r="R10" s="353" t="s">
        <v>36</v>
      </c>
      <c r="S10" s="167" t="s">
        <v>31</v>
      </c>
      <c r="T10" s="167" t="s">
        <v>38</v>
      </c>
      <c r="U10" s="353" t="s">
        <v>31</v>
      </c>
      <c r="V10" s="167" t="s">
        <v>20</v>
      </c>
      <c r="W10" s="167" t="s">
        <v>118</v>
      </c>
      <c r="X10" s="167" t="s">
        <v>92</v>
      </c>
      <c r="Y10" s="336" t="s">
        <v>144</v>
      </c>
      <c r="Z10" s="167" t="s">
        <v>117</v>
      </c>
      <c r="AA10" s="167" t="s">
        <v>35</v>
      </c>
      <c r="AB10" s="167" t="s">
        <v>34</v>
      </c>
      <c r="AC10" s="339"/>
      <c r="AD10" s="339"/>
      <c r="AE10" s="339"/>
      <c r="AF10" s="354" t="s">
        <v>36</v>
      </c>
      <c r="AG10" s="353" t="s">
        <v>31</v>
      </c>
      <c r="AH10" s="354" t="s">
        <v>20</v>
      </c>
      <c r="AI10" s="339"/>
      <c r="AJ10" s="336" t="s">
        <v>144</v>
      </c>
      <c r="AK10" s="167" t="s">
        <v>117</v>
      </c>
      <c r="AL10" s="167" t="s">
        <v>35</v>
      </c>
      <c r="AM10" s="339"/>
      <c r="AN10" s="167" t="s">
        <v>34</v>
      </c>
      <c r="AO10" s="339"/>
      <c r="AP10" s="339"/>
      <c r="AQ10" s="339"/>
      <c r="AR10" s="167" t="s">
        <v>28</v>
      </c>
      <c r="AS10" s="167" t="s">
        <v>131</v>
      </c>
      <c r="AT10" s="167" t="s">
        <v>38</v>
      </c>
      <c r="AU10" s="167" t="s">
        <v>36</v>
      </c>
      <c r="AV10" s="198" t="s">
        <v>99</v>
      </c>
      <c r="AW10" s="359" t="s">
        <v>99</v>
      </c>
      <c r="AX10" s="349"/>
      <c r="AY10" s="360"/>
      <c r="AZ10" s="167" t="s">
        <v>20</v>
      </c>
      <c r="BA10" s="339"/>
      <c r="BB10" s="167" t="s">
        <v>35</v>
      </c>
      <c r="BC10" s="354" t="s">
        <v>100</v>
      </c>
      <c r="BD10" s="198" t="s">
        <v>20</v>
      </c>
      <c r="BE10" s="167" t="s">
        <v>34</v>
      </c>
      <c r="BF10" s="339"/>
      <c r="BG10" s="198"/>
      <c r="BH10" s="167"/>
      <c r="BI10" s="167" t="s">
        <v>25</v>
      </c>
      <c r="BJ10" s="167" t="s">
        <v>28</v>
      </c>
      <c r="BK10" s="167" t="s">
        <v>32</v>
      </c>
      <c r="BL10" s="167" t="s">
        <v>33</v>
      </c>
      <c r="BM10" s="336" t="s">
        <v>136</v>
      </c>
      <c r="BN10" s="167" t="s">
        <v>36</v>
      </c>
      <c r="BO10" s="167"/>
      <c r="BP10" s="167" t="s">
        <v>17</v>
      </c>
      <c r="BQ10" s="339"/>
      <c r="BR10" s="167" t="s">
        <v>112</v>
      </c>
      <c r="BS10" s="167"/>
      <c r="BT10" s="167" t="s">
        <v>34</v>
      </c>
      <c r="BU10" s="339"/>
      <c r="BV10" s="198"/>
      <c r="BW10" s="167"/>
      <c r="BX10" s="167" t="s">
        <v>28</v>
      </c>
      <c r="BY10" s="167" t="s">
        <v>31</v>
      </c>
      <c r="BZ10" s="167" t="s">
        <v>36</v>
      </c>
      <c r="CA10" s="167" t="s">
        <v>17</v>
      </c>
      <c r="CB10" s="339"/>
      <c r="CC10" s="167" t="s">
        <v>35</v>
      </c>
      <c r="CD10" s="354" t="s">
        <v>100</v>
      </c>
      <c r="CE10" s="167" t="s">
        <v>20</v>
      </c>
      <c r="CF10" s="167"/>
      <c r="CG10" s="167" t="s">
        <v>34</v>
      </c>
    </row>
    <row r="11" spans="1:106">
      <c r="A11" s="185" t="s">
        <v>18</v>
      </c>
      <c r="C11" s="361">
        <f>+'Gas Input Table Summary'!$E$8</f>
        <v>3.5000000000000003E-2</v>
      </c>
      <c r="E11" s="185" t="s">
        <v>19</v>
      </c>
      <c r="F11" s="195">
        <f>+'Total Program Inputs'!K18</f>
        <v>134</v>
      </c>
      <c r="G11" s="538"/>
      <c r="H11" s="538"/>
      <c r="J11" s="337" t="s">
        <v>42</v>
      </c>
      <c r="L11" s="339"/>
      <c r="M11" s="167" t="s">
        <v>44</v>
      </c>
      <c r="N11" s="198" t="s">
        <v>107</v>
      </c>
      <c r="O11" s="198" t="s">
        <v>38</v>
      </c>
      <c r="P11" s="352" t="s">
        <v>107</v>
      </c>
      <c r="Q11" s="352" t="s">
        <v>38</v>
      </c>
      <c r="R11" s="353" t="s">
        <v>38</v>
      </c>
      <c r="S11" s="167" t="s">
        <v>44</v>
      </c>
      <c r="T11" s="198" t="s">
        <v>95</v>
      </c>
      <c r="U11" s="353" t="s">
        <v>38</v>
      </c>
      <c r="V11" s="167" t="s">
        <v>38</v>
      </c>
      <c r="W11" s="167" t="s">
        <v>119</v>
      </c>
      <c r="X11" s="167" t="s">
        <v>93</v>
      </c>
      <c r="Y11" s="336" t="s">
        <v>15</v>
      </c>
      <c r="Z11" s="167" t="s">
        <v>15</v>
      </c>
      <c r="AA11" s="167" t="s">
        <v>15</v>
      </c>
      <c r="AB11" s="167" t="s">
        <v>15</v>
      </c>
      <c r="AC11" s="339"/>
      <c r="AD11" s="339"/>
      <c r="AF11" s="167" t="s">
        <v>38</v>
      </c>
      <c r="AG11" s="353" t="s">
        <v>38</v>
      </c>
      <c r="AH11" s="353" t="s">
        <v>38</v>
      </c>
      <c r="AI11" s="339"/>
      <c r="AJ11" s="336" t="s">
        <v>15</v>
      </c>
      <c r="AK11" s="167" t="s">
        <v>15</v>
      </c>
      <c r="AL11" s="167" t="s">
        <v>15</v>
      </c>
      <c r="AM11" s="339"/>
      <c r="AN11" s="167" t="s">
        <v>15</v>
      </c>
      <c r="AO11" s="339"/>
      <c r="AP11" s="339"/>
      <c r="AR11" s="167" t="s">
        <v>38</v>
      </c>
      <c r="AS11" s="167" t="s">
        <v>38</v>
      </c>
      <c r="AT11" s="336" t="s">
        <v>133</v>
      </c>
      <c r="AU11" s="167" t="s">
        <v>38</v>
      </c>
      <c r="AV11" s="362" t="s">
        <v>132</v>
      </c>
      <c r="AW11" s="362" t="s">
        <v>38</v>
      </c>
      <c r="AX11" s="349"/>
      <c r="AY11" s="360"/>
      <c r="AZ11" s="354" t="s">
        <v>38</v>
      </c>
      <c r="BA11" s="339"/>
      <c r="BB11" s="167" t="s">
        <v>15</v>
      </c>
      <c r="BC11" s="363" t="s">
        <v>101</v>
      </c>
      <c r="BD11" s="359" t="s">
        <v>15</v>
      </c>
      <c r="BE11" s="167" t="s">
        <v>15</v>
      </c>
      <c r="BF11" s="339"/>
      <c r="BH11" s="167"/>
      <c r="BI11" s="167" t="s">
        <v>46</v>
      </c>
      <c r="BJ11" s="167" t="s">
        <v>44</v>
      </c>
      <c r="BK11" s="167" t="s">
        <v>45</v>
      </c>
      <c r="BL11" s="167" t="s">
        <v>38</v>
      </c>
      <c r="BM11" s="336" t="s">
        <v>0</v>
      </c>
      <c r="BN11" s="167" t="s">
        <v>38</v>
      </c>
      <c r="BO11" s="167"/>
      <c r="BP11" s="167" t="s">
        <v>14</v>
      </c>
      <c r="BQ11" s="339"/>
      <c r="BR11" s="167" t="s">
        <v>15</v>
      </c>
      <c r="BS11" s="167"/>
      <c r="BT11" s="167" t="s">
        <v>15</v>
      </c>
      <c r="BU11" s="339"/>
      <c r="BW11" s="167"/>
      <c r="BX11" s="167" t="s">
        <v>38</v>
      </c>
      <c r="BY11" s="167" t="s">
        <v>38</v>
      </c>
      <c r="BZ11" s="167" t="s">
        <v>38</v>
      </c>
      <c r="CA11" s="167" t="s">
        <v>14</v>
      </c>
      <c r="CB11" s="339"/>
      <c r="CC11" s="167" t="s">
        <v>15</v>
      </c>
      <c r="CD11" s="363" t="s">
        <v>101</v>
      </c>
      <c r="CE11" s="167" t="s">
        <v>15</v>
      </c>
      <c r="CF11" s="167"/>
      <c r="CG11" s="167" t="s">
        <v>15</v>
      </c>
    </row>
    <row r="12" spans="1:106">
      <c r="A12" s="185"/>
      <c r="C12" s="361"/>
      <c r="E12" s="185" t="s">
        <v>27</v>
      </c>
      <c r="F12" s="320">
        <f>+'Total Program Inputs'!G18</f>
        <v>1800</v>
      </c>
      <c r="G12" s="540"/>
      <c r="H12" s="540"/>
      <c r="J12" s="333"/>
      <c r="L12" s="184" t="s">
        <v>43</v>
      </c>
      <c r="M12" s="170" t="s">
        <v>48</v>
      </c>
      <c r="N12" s="170" t="s">
        <v>49</v>
      </c>
      <c r="O12" s="170" t="s">
        <v>50</v>
      </c>
      <c r="P12" s="170" t="s">
        <v>51</v>
      </c>
      <c r="Q12" s="170" t="s">
        <v>52</v>
      </c>
      <c r="R12" s="170" t="s">
        <v>53</v>
      </c>
      <c r="S12" s="170" t="s">
        <v>54</v>
      </c>
      <c r="T12" s="170" t="s">
        <v>55</v>
      </c>
      <c r="U12" s="170" t="s">
        <v>56</v>
      </c>
      <c r="V12" s="170" t="s">
        <v>57</v>
      </c>
      <c r="W12" s="170" t="s">
        <v>58</v>
      </c>
      <c r="X12" s="170" t="s">
        <v>59</v>
      </c>
      <c r="Y12" s="170" t="s">
        <v>60</v>
      </c>
      <c r="Z12" s="170" t="s">
        <v>61</v>
      </c>
      <c r="AA12" s="170" t="s">
        <v>137</v>
      </c>
      <c r="AB12" s="170" t="s">
        <v>145</v>
      </c>
      <c r="AE12" s="184" t="s">
        <v>43</v>
      </c>
      <c r="AF12" s="170" t="s">
        <v>48</v>
      </c>
      <c r="AG12" s="170" t="s">
        <v>49</v>
      </c>
      <c r="AH12" s="170" t="s">
        <v>50</v>
      </c>
      <c r="AJ12" s="170" t="s">
        <v>51</v>
      </c>
      <c r="AK12" s="170" t="s">
        <v>52</v>
      </c>
      <c r="AL12" s="170" t="s">
        <v>53</v>
      </c>
      <c r="AN12" s="170" t="s">
        <v>54</v>
      </c>
      <c r="AQ12" s="184" t="s">
        <v>43</v>
      </c>
      <c r="AR12" s="170" t="s">
        <v>48</v>
      </c>
      <c r="AS12" s="170" t="s">
        <v>49</v>
      </c>
      <c r="AT12" s="170" t="s">
        <v>50</v>
      </c>
      <c r="AU12" s="170" t="s">
        <v>51</v>
      </c>
      <c r="AV12" s="170" t="s">
        <v>52</v>
      </c>
      <c r="AW12" s="170" t="s">
        <v>53</v>
      </c>
      <c r="AX12" s="364"/>
      <c r="AY12" s="364"/>
      <c r="AZ12" s="170" t="s">
        <v>54</v>
      </c>
      <c r="BA12" s="339"/>
      <c r="BB12" s="170" t="s">
        <v>55</v>
      </c>
      <c r="BC12" s="170" t="s">
        <v>56</v>
      </c>
      <c r="BD12" s="170" t="s">
        <v>57</v>
      </c>
      <c r="BE12" s="170" t="s">
        <v>58</v>
      </c>
      <c r="BH12" s="184" t="s">
        <v>43</v>
      </c>
      <c r="BI12" s="170" t="s">
        <v>48</v>
      </c>
      <c r="BJ12" s="170" t="s">
        <v>49</v>
      </c>
      <c r="BK12" s="170" t="s">
        <v>50</v>
      </c>
      <c r="BL12" s="170" t="s">
        <v>51</v>
      </c>
      <c r="BM12" s="170" t="s">
        <v>52</v>
      </c>
      <c r="BN12" s="170" t="s">
        <v>53</v>
      </c>
      <c r="BO12" s="170"/>
      <c r="BP12" s="170" t="s">
        <v>54</v>
      </c>
      <c r="BR12" s="170" t="s">
        <v>55</v>
      </c>
      <c r="BS12" s="198"/>
      <c r="BT12" s="170" t="s">
        <v>56</v>
      </c>
      <c r="BW12" s="184" t="s">
        <v>43</v>
      </c>
      <c r="BX12" s="170" t="s">
        <v>48</v>
      </c>
      <c r="BY12" s="170" t="s">
        <v>49</v>
      </c>
      <c r="BZ12" s="170" t="s">
        <v>50</v>
      </c>
      <c r="CA12" s="170" t="s">
        <v>51</v>
      </c>
      <c r="CC12" s="170" t="s">
        <v>52</v>
      </c>
      <c r="CD12" s="170" t="s">
        <v>53</v>
      </c>
      <c r="CE12" s="170" t="s">
        <v>54</v>
      </c>
      <c r="CF12" s="198"/>
      <c r="CG12" s="170" t="s">
        <v>55</v>
      </c>
    </row>
    <row r="13" spans="1:106">
      <c r="A13" s="185" t="s">
        <v>40</v>
      </c>
      <c r="C13" s="365">
        <f>+'Gas Input Table Summary'!$E$9</f>
        <v>0.13500000000000001</v>
      </c>
      <c r="E13" s="185" t="s">
        <v>41</v>
      </c>
      <c r="F13" s="357">
        <f>SUM(F11:F12)</f>
        <v>1934</v>
      </c>
      <c r="G13" s="357"/>
      <c r="H13" s="357"/>
      <c r="J13" s="366"/>
      <c r="L13" s="366"/>
      <c r="M13" s="366"/>
      <c r="N13" s="366"/>
      <c r="Q13" s="366"/>
      <c r="R13" s="321"/>
      <c r="S13" s="366"/>
      <c r="T13" s="366"/>
      <c r="V13" s="167"/>
      <c r="W13" s="366"/>
      <c r="X13" s="366"/>
      <c r="Z13" s="366"/>
      <c r="AA13" s="366"/>
      <c r="AB13" s="366"/>
      <c r="AE13" s="366"/>
      <c r="AF13" s="366"/>
      <c r="AH13" s="366"/>
      <c r="AL13" s="366"/>
      <c r="AN13" s="366"/>
      <c r="AQ13" s="366"/>
      <c r="AR13" s="366"/>
      <c r="AS13" s="366"/>
      <c r="AU13" s="366"/>
      <c r="AW13" s="334"/>
      <c r="AX13" s="274"/>
      <c r="AY13" s="367"/>
      <c r="AZ13" s="366"/>
      <c r="BB13" s="366"/>
      <c r="BC13" s="366"/>
      <c r="BD13" s="366"/>
      <c r="BE13" s="366"/>
      <c r="BH13" s="366"/>
      <c r="BI13" s="366"/>
      <c r="BJ13" s="366"/>
      <c r="BK13" s="366"/>
      <c r="BL13" s="366"/>
      <c r="BN13" s="366"/>
      <c r="BO13" s="366"/>
      <c r="BP13" s="366"/>
      <c r="BR13" s="366"/>
      <c r="BS13" s="366"/>
      <c r="BT13" s="366"/>
      <c r="BW13" s="366"/>
      <c r="BX13" s="366"/>
      <c r="BY13" s="366"/>
      <c r="BZ13" s="366"/>
      <c r="CA13" s="366"/>
      <c r="CC13" s="366"/>
      <c r="CD13" s="366"/>
      <c r="CE13" s="366"/>
      <c r="CF13" s="366"/>
      <c r="CG13" s="366"/>
    </row>
    <row r="14" spans="1:106">
      <c r="A14" s="185" t="s">
        <v>47</v>
      </c>
      <c r="C14" s="361">
        <f>+'Gas Input Table Summary'!$E$10</f>
        <v>3.5000000000000003E-2</v>
      </c>
      <c r="F14" s="368"/>
      <c r="G14" s="368"/>
      <c r="H14" s="368"/>
      <c r="J14" s="333">
        <f>$C$47-$C$45</f>
        <v>1</v>
      </c>
      <c r="L14" s="366">
        <f>$C$47</f>
        <v>2015</v>
      </c>
      <c r="M14" s="369">
        <f>ROUND(IF($C$47+$F$23&gt;L14,F25*F30,0),0)</f>
        <v>150</v>
      </c>
      <c r="N14" s="370">
        <f>ROUND($C$17*(1),3)</f>
        <v>2.577</v>
      </c>
      <c r="O14" s="357">
        <f t="shared" ref="O14:O34" si="0">ROUND(M14*N14,0)</f>
        <v>387</v>
      </c>
      <c r="P14" s="370">
        <f t="shared" ref="P14:P34" si="1">ROUND($C$25*(1+$C$26)^J14,3)</f>
        <v>0</v>
      </c>
      <c r="Q14" s="357">
        <f>ROUND(M14*P14,0)</f>
        <v>0</v>
      </c>
      <c r="R14" s="371">
        <f t="shared" ref="R14:R34" si="2">O14+Q14</f>
        <v>387</v>
      </c>
      <c r="S14" s="372">
        <f t="shared" ref="S14:S34" si="3">ROUND(M14*$C$23,1)</f>
        <v>1.5</v>
      </c>
      <c r="T14" s="357">
        <f>ROUND($C$20*(1),0)</f>
        <v>142</v>
      </c>
      <c r="U14" s="373">
        <f>ROUND(S14*T14,0)</f>
        <v>213</v>
      </c>
      <c r="V14" s="374">
        <f>ROUND(+U14+R14,0)</f>
        <v>600</v>
      </c>
      <c r="W14" s="375">
        <f t="shared" ref="W14:W34" si="4">ROUND($H$36*(1+$C$11)^J14,3)</f>
        <v>1.3480000000000001</v>
      </c>
      <c r="X14" s="376">
        <f t="shared" ref="X14:X34" si="5">ROUND((1-$H$38)*(W14*M14),0)</f>
        <v>131</v>
      </c>
      <c r="Y14" s="377">
        <f>ROUND($F$11,0)</f>
        <v>134</v>
      </c>
      <c r="Z14" s="377">
        <f>ROUND($F$12,0)</f>
        <v>1800</v>
      </c>
      <c r="AA14" s="377">
        <f t="shared" ref="AA14:AA34" si="6">SUM(X14:Z14)</f>
        <v>2065</v>
      </c>
      <c r="AB14" s="357">
        <f t="shared" ref="AB14:AB34" si="7">V14-AA14</f>
        <v>-1465</v>
      </c>
      <c r="AE14" s="366">
        <f>$C$47</f>
        <v>2015</v>
      </c>
      <c r="AF14" s="357">
        <f t="shared" ref="AF14:AF34" si="8">+R14</f>
        <v>387</v>
      </c>
      <c r="AG14" s="378">
        <f t="shared" ref="AG14:AG34" si="9">+U14</f>
        <v>213</v>
      </c>
      <c r="AH14" s="377">
        <f>+AG14+AF14</f>
        <v>600</v>
      </c>
      <c r="AJ14" s="378">
        <f>ROUND(Y14,0)</f>
        <v>134</v>
      </c>
      <c r="AK14" s="378">
        <f>ROUND(Z14,0)</f>
        <v>1800</v>
      </c>
      <c r="AL14" s="357">
        <f t="shared" ref="AL14:AL34" si="10">SUM(AJ14:AK14)</f>
        <v>1934</v>
      </c>
      <c r="AN14" s="357">
        <f t="shared" ref="AN14:AN34" si="11">+AH14-AL14</f>
        <v>-1334</v>
      </c>
      <c r="AQ14" s="366">
        <f>$C$47</f>
        <v>2015</v>
      </c>
      <c r="AR14" s="357">
        <f t="shared" ref="AR14:AR34" si="12">AF14</f>
        <v>387</v>
      </c>
      <c r="AS14" s="357">
        <f t="shared" ref="AS14:AS34" si="13">+AG14</f>
        <v>213</v>
      </c>
      <c r="AT14" s="379">
        <f t="shared" ref="AT14:AT34" si="14">ROUND(($C$28/(1-$C$31))*(1+$C$29)^J14,3)</f>
        <v>2.4E-2</v>
      </c>
      <c r="AU14" s="380">
        <f>ROUND(IF($C$47+$F$23&gt;$AQ14,$F$30*$F$27,0)*AT14,0)</f>
        <v>105</v>
      </c>
      <c r="AV14" s="370">
        <f t="shared" ref="AV14:AV34" si="15">ROUND($C$33*(1+$C$34)^J14,3)</f>
        <v>0.35799999999999998</v>
      </c>
      <c r="AW14" s="357">
        <f t="shared" ref="AW14:AW34" si="16">ROUND(AV14*M14,0)</f>
        <v>54</v>
      </c>
      <c r="AX14" s="379"/>
      <c r="AY14" s="380"/>
      <c r="AZ14" s="357">
        <f>ROUND(AR14+AS14+AU14+AW14+AY14,0)</f>
        <v>759</v>
      </c>
      <c r="BA14" s="381"/>
      <c r="BB14" s="377">
        <f>ROUND($F$13,0)</f>
        <v>1934</v>
      </c>
      <c r="BC14" s="377">
        <f>ROUND((F15*F30)-Z14,0)</f>
        <v>2100</v>
      </c>
      <c r="BD14" s="382">
        <f>BB14+BC14</f>
        <v>4034</v>
      </c>
      <c r="BE14" s="377">
        <f t="shared" ref="BE14:BE34" si="17">AZ14-BD14</f>
        <v>-3275</v>
      </c>
      <c r="BH14" s="366">
        <f>$C$47</f>
        <v>2015</v>
      </c>
      <c r="BI14" s="357">
        <f>+F12</f>
        <v>1800</v>
      </c>
      <c r="BJ14" s="369">
        <f t="shared" ref="BJ14:BJ34" si="18">+M14</f>
        <v>150</v>
      </c>
      <c r="BK14" s="383">
        <f t="shared" ref="BK14:BK34" si="19">ROUND($C$10*(1+$C$11)^J14,3)</f>
        <v>5.7240000000000002</v>
      </c>
      <c r="BL14" s="357">
        <f>ROUND(BJ14*BK14,0)</f>
        <v>859</v>
      </c>
      <c r="BM14" s="383">
        <f t="shared" ref="BM14:BM34" si="20">ROUND($C$13*(1+$C$14)^J14,3)</f>
        <v>0.14000000000000001</v>
      </c>
      <c r="BN14" s="380">
        <f>ROUND(IF($C$47+$F$23&gt;$BH14,$F$30*$F$27,0)*BM14,0)</f>
        <v>615</v>
      </c>
      <c r="BO14" s="380"/>
      <c r="BP14" s="357">
        <f t="shared" ref="BP14:BP34" si="21">BI14+BL14+BN14+BO14</f>
        <v>3274</v>
      </c>
      <c r="BR14" s="357">
        <f>ROUND(F15*F30,0)</f>
        <v>3900</v>
      </c>
      <c r="BS14" s="357"/>
      <c r="BT14" s="357">
        <f>BP14-BR14</f>
        <v>-626</v>
      </c>
      <c r="BW14" s="366">
        <f>$C$47</f>
        <v>2015</v>
      </c>
      <c r="BX14" s="357">
        <f t="shared" ref="BX14:BX34" si="22">$R14</f>
        <v>387</v>
      </c>
      <c r="BY14" s="357">
        <f>U14</f>
        <v>213</v>
      </c>
      <c r="BZ14" s="384">
        <f>AU14</f>
        <v>105</v>
      </c>
      <c r="CA14" s="357">
        <f>SUM(BX14:BZ14)</f>
        <v>705</v>
      </c>
      <c r="CC14" s="357">
        <f>BB14</f>
        <v>1934</v>
      </c>
      <c r="CD14" s="357">
        <f>BC14</f>
        <v>2100</v>
      </c>
      <c r="CE14" s="357">
        <f>SUM(CC14:CD14)</f>
        <v>4034</v>
      </c>
      <c r="CF14" s="357"/>
      <c r="CG14" s="357">
        <f>CA14-CE14</f>
        <v>-3329</v>
      </c>
    </row>
    <row r="15" spans="1:106">
      <c r="A15" s="185" t="s">
        <v>62</v>
      </c>
      <c r="C15" s="188" t="str">
        <f>+'Gas Input Table Summary'!$E$11</f>
        <v>Kwh</v>
      </c>
      <c r="E15" s="185" t="s">
        <v>63</v>
      </c>
      <c r="F15" s="385">
        <f>ROUND('Database Inputs'!K17,0)</f>
        <v>650</v>
      </c>
      <c r="G15" s="385"/>
      <c r="H15" s="385"/>
      <c r="J15" s="333">
        <f t="shared" ref="J15:J34" si="23">J14+1</f>
        <v>2</v>
      </c>
      <c r="L15" s="366">
        <f t="shared" ref="L15:L34" si="24">L14+1</f>
        <v>2016</v>
      </c>
      <c r="M15" s="386">
        <f>ROUND(IF($C$47+$F$23&gt;L15,$F$25*$F$30,0)+IF($C$48+$G$23&gt;L15,$G$25*$G$30,0),0)</f>
        <v>150</v>
      </c>
      <c r="N15" s="387">
        <f>ROUND($C$17*(1+$C$18)^J14,3)</f>
        <v>2.6669999999999998</v>
      </c>
      <c r="O15" s="388">
        <f t="shared" si="0"/>
        <v>400</v>
      </c>
      <c r="P15" s="387">
        <f t="shared" si="1"/>
        <v>0</v>
      </c>
      <c r="Q15" s="389">
        <f t="shared" ref="Q15:Q34" si="25">ROUND(M15*P15,0)</f>
        <v>0</v>
      </c>
      <c r="R15" s="390">
        <f t="shared" si="2"/>
        <v>400</v>
      </c>
      <c r="S15" s="372">
        <f t="shared" si="3"/>
        <v>1.5</v>
      </c>
      <c r="T15" s="389">
        <f>ROUND($C$20*(1+$C$21)^J14,0)</f>
        <v>144</v>
      </c>
      <c r="U15" s="391">
        <f>ROUND(S15*T15,0)</f>
        <v>216</v>
      </c>
      <c r="V15" s="386">
        <f t="shared" ref="V15:V34" si="26">ROUND(+U15+R15,0)</f>
        <v>616</v>
      </c>
      <c r="W15" s="392">
        <f t="shared" si="4"/>
        <v>1.395</v>
      </c>
      <c r="X15" s="393">
        <f t="shared" si="5"/>
        <v>136</v>
      </c>
      <c r="Y15" s="393">
        <f>ROUND($G$11,0)</f>
        <v>0</v>
      </c>
      <c r="Z15" s="393">
        <f>ROUND($G$12,0)</f>
        <v>0</v>
      </c>
      <c r="AA15" s="389">
        <f t="shared" si="6"/>
        <v>136</v>
      </c>
      <c r="AB15" s="393">
        <f t="shared" si="7"/>
        <v>480</v>
      </c>
      <c r="AE15" s="366">
        <f t="shared" ref="AE15:AE34" si="27">AE14+1</f>
        <v>2016</v>
      </c>
      <c r="AF15" s="393">
        <f t="shared" si="8"/>
        <v>400</v>
      </c>
      <c r="AG15" s="368">
        <f t="shared" si="9"/>
        <v>216</v>
      </c>
      <c r="AH15" s="393">
        <f>+AG15+AF15</f>
        <v>616</v>
      </c>
      <c r="AJ15" s="394">
        <f t="shared" ref="AJ15:AK34" si="28">ROUND(Y15,0)</f>
        <v>0</v>
      </c>
      <c r="AK15" s="394">
        <f t="shared" si="28"/>
        <v>0</v>
      </c>
      <c r="AL15" s="395">
        <f t="shared" si="10"/>
        <v>0</v>
      </c>
      <c r="AN15" s="396">
        <f t="shared" si="11"/>
        <v>616</v>
      </c>
      <c r="AQ15" s="366">
        <f t="shared" ref="AQ15:AQ34" si="29">AQ14+1</f>
        <v>2016</v>
      </c>
      <c r="AR15" s="393">
        <f t="shared" si="12"/>
        <v>400</v>
      </c>
      <c r="AS15" s="393">
        <f t="shared" si="13"/>
        <v>216</v>
      </c>
      <c r="AT15" s="397">
        <f t="shared" si="14"/>
        <v>2.5000000000000001E-2</v>
      </c>
      <c r="AU15" s="398">
        <f>ROUND((IF($C$47+$F$23&gt;$AQ15,$F$27*$F$30,0)+IF($C$48+$G$23&gt;AQ15,$G$27*$G$30,0))*AT15,0)</f>
        <v>110</v>
      </c>
      <c r="AV15" s="387">
        <f t="shared" si="15"/>
        <v>0.36599999999999999</v>
      </c>
      <c r="AW15" s="393">
        <f t="shared" si="16"/>
        <v>55</v>
      </c>
      <c r="AX15" s="397"/>
      <c r="AY15" s="399"/>
      <c r="AZ15" s="393">
        <f t="shared" ref="AZ15:AZ34" si="30">ROUND(AR15+AS15+AU15+AW15+AY15,0)</f>
        <v>781</v>
      </c>
      <c r="BA15" s="381"/>
      <c r="BB15" s="393">
        <f>ROUND($G$13,0)</f>
        <v>0</v>
      </c>
      <c r="BC15" s="393">
        <f>ROUND(($G$15*$G$30)-$Z$15,0)</f>
        <v>0</v>
      </c>
      <c r="BD15" s="400">
        <f t="shared" ref="BD15:BD34" si="31">BB15+BC15</f>
        <v>0</v>
      </c>
      <c r="BE15" s="393">
        <f t="shared" si="17"/>
        <v>781</v>
      </c>
      <c r="BH15" s="366">
        <f t="shared" ref="BH15:BH34" si="32">BH14+1</f>
        <v>2016</v>
      </c>
      <c r="BI15" s="393">
        <f>+G12</f>
        <v>0</v>
      </c>
      <c r="BJ15" s="369">
        <f t="shared" si="18"/>
        <v>150</v>
      </c>
      <c r="BK15" s="401">
        <f t="shared" si="19"/>
        <v>5.9240000000000004</v>
      </c>
      <c r="BL15" s="393">
        <f>ROUND(BJ15*BK15,0)</f>
        <v>889</v>
      </c>
      <c r="BM15" s="401">
        <f t="shared" si="20"/>
        <v>0.14499999999999999</v>
      </c>
      <c r="BN15" s="398">
        <f>ROUND((IF($C$47+$F$23&gt;BH15,$F$27*$F$30,0)+IF($C$48+$G$23&gt;BH15,$G$27*$G$30,0))*BM15,0)</f>
        <v>637</v>
      </c>
      <c r="BO15" s="402"/>
      <c r="BP15" s="393">
        <f t="shared" si="21"/>
        <v>1526</v>
      </c>
      <c r="BR15" s="393">
        <f>ROUND($G$15*$G$30,0)</f>
        <v>0</v>
      </c>
      <c r="BS15" s="393"/>
      <c r="BT15" s="393">
        <f t="shared" ref="BT15:BT34" si="33">BP15-BR15</f>
        <v>1526</v>
      </c>
      <c r="BW15" s="366">
        <f t="shared" ref="BW15:BW34" si="34">BW14+1</f>
        <v>2016</v>
      </c>
      <c r="BX15" s="393">
        <f t="shared" si="22"/>
        <v>400</v>
      </c>
      <c r="BY15" s="369">
        <f t="shared" ref="BY15:BY34" si="35">U15</f>
        <v>216</v>
      </c>
      <c r="BZ15" s="403">
        <f t="shared" ref="BZ15:BZ34" si="36">AU15</f>
        <v>110</v>
      </c>
      <c r="CA15" s="393">
        <f t="shared" ref="CA15:CA34" si="37">SUM(BX15:BZ15)</f>
        <v>726</v>
      </c>
      <c r="CC15" s="393">
        <f t="shared" ref="CC15:CD34" si="38">BB15</f>
        <v>0</v>
      </c>
      <c r="CD15" s="393">
        <f t="shared" si="38"/>
        <v>0</v>
      </c>
      <c r="CE15" s="393">
        <f t="shared" ref="CE15:CE34" si="39">SUM(CC15:CD15)</f>
        <v>0</v>
      </c>
      <c r="CF15" s="393"/>
      <c r="CG15" s="393">
        <f>CA15-CE15</f>
        <v>726</v>
      </c>
    </row>
    <row r="16" spans="1:106">
      <c r="F16" s="369"/>
      <c r="G16" s="369"/>
      <c r="H16" s="369"/>
      <c r="J16" s="333">
        <f t="shared" si="23"/>
        <v>3</v>
      </c>
      <c r="L16" s="366">
        <f t="shared" si="24"/>
        <v>2017</v>
      </c>
      <c r="M16" s="386">
        <f>ROUND(IF($C$47+$F$23&gt;L16,$F$25*$F$30,0)+IF($C$48+$G$23&gt;L16,$G$25*$G$30,0)+IF($C$49+$H$23&gt;L16,$H$25*$H$30,0),0)</f>
        <v>150</v>
      </c>
      <c r="N16" s="387">
        <f t="shared" ref="N16:N34" si="40">ROUND($C$17*(1+$C$18)^J15,3)</f>
        <v>2.7610000000000001</v>
      </c>
      <c r="O16" s="388">
        <f t="shared" si="0"/>
        <v>414</v>
      </c>
      <c r="P16" s="387">
        <f t="shared" si="1"/>
        <v>0</v>
      </c>
      <c r="Q16" s="389">
        <f t="shared" si="25"/>
        <v>0</v>
      </c>
      <c r="R16" s="390">
        <f t="shared" si="2"/>
        <v>414</v>
      </c>
      <c r="S16" s="372">
        <f t="shared" si="3"/>
        <v>1.5</v>
      </c>
      <c r="T16" s="389">
        <f t="shared" ref="T16:T34" si="41">ROUND($C$20*(1+$C$21)^J15,0)</f>
        <v>145</v>
      </c>
      <c r="U16" s="391">
        <f t="shared" ref="U16:U34" si="42">ROUND(S16*T16,0)</f>
        <v>218</v>
      </c>
      <c r="V16" s="386">
        <f t="shared" si="26"/>
        <v>632</v>
      </c>
      <c r="W16" s="392">
        <f t="shared" si="4"/>
        <v>1.444</v>
      </c>
      <c r="X16" s="393">
        <f t="shared" si="5"/>
        <v>141</v>
      </c>
      <c r="Y16" s="393">
        <f>ROUND($H$11,0)</f>
        <v>0</v>
      </c>
      <c r="Z16" s="393">
        <f>ROUND($H$12,0)</f>
        <v>0</v>
      </c>
      <c r="AA16" s="389">
        <f t="shared" si="6"/>
        <v>141</v>
      </c>
      <c r="AB16" s="393">
        <f t="shared" si="7"/>
        <v>491</v>
      </c>
      <c r="AE16" s="366">
        <f t="shared" si="27"/>
        <v>2017</v>
      </c>
      <c r="AF16" s="393">
        <f t="shared" si="8"/>
        <v>414</v>
      </c>
      <c r="AG16" s="368">
        <f t="shared" si="9"/>
        <v>218</v>
      </c>
      <c r="AH16" s="393">
        <f t="shared" ref="AH16:AH34" si="43">+AG16+AF16</f>
        <v>632</v>
      </c>
      <c r="AJ16" s="394">
        <f t="shared" si="28"/>
        <v>0</v>
      </c>
      <c r="AK16" s="394">
        <f t="shared" si="28"/>
        <v>0</v>
      </c>
      <c r="AL16" s="395">
        <f t="shared" si="10"/>
        <v>0</v>
      </c>
      <c r="AN16" s="396">
        <f t="shared" si="11"/>
        <v>632</v>
      </c>
      <c r="AQ16" s="366">
        <f t="shared" si="29"/>
        <v>2017</v>
      </c>
      <c r="AR16" s="393">
        <f t="shared" si="12"/>
        <v>414</v>
      </c>
      <c r="AS16" s="393">
        <f t="shared" si="13"/>
        <v>218</v>
      </c>
      <c r="AT16" s="397">
        <f t="shared" si="14"/>
        <v>2.5000000000000001E-2</v>
      </c>
      <c r="AU16" s="398">
        <f>ROUND((IF($C$47+$F$23&gt;$AQ16,$F$27*$F$30,0)+IF($C$48+$G$23&gt;AQ16,$G$27*$G$30,0)+IF($C$49+$H$23&gt;AQ16,$H$27*$H$30,0))*AT16,0)</f>
        <v>110</v>
      </c>
      <c r="AV16" s="387">
        <f t="shared" si="15"/>
        <v>0.375</v>
      </c>
      <c r="AW16" s="393">
        <f t="shared" si="16"/>
        <v>56</v>
      </c>
      <c r="AX16" s="397"/>
      <c r="AY16" s="399"/>
      <c r="AZ16" s="393">
        <f t="shared" si="30"/>
        <v>798</v>
      </c>
      <c r="BA16" s="381"/>
      <c r="BB16" s="393">
        <f>ROUND($H$13,0)</f>
        <v>0</v>
      </c>
      <c r="BC16" s="393">
        <f>ROUND(($H$15*$H$30)-$Z$16,0)</f>
        <v>0</v>
      </c>
      <c r="BD16" s="400">
        <f t="shared" si="31"/>
        <v>0</v>
      </c>
      <c r="BE16" s="393">
        <f t="shared" si="17"/>
        <v>798</v>
      </c>
      <c r="BH16" s="366">
        <f t="shared" si="32"/>
        <v>2017</v>
      </c>
      <c r="BI16" s="393">
        <f>ROUND(H12,0)</f>
        <v>0</v>
      </c>
      <c r="BJ16" s="369">
        <f t="shared" si="18"/>
        <v>150</v>
      </c>
      <c r="BK16" s="401">
        <f t="shared" si="19"/>
        <v>6.1310000000000002</v>
      </c>
      <c r="BL16" s="393">
        <f t="shared" ref="BL16:BL34" si="44">ROUND(BJ16*BK16,0)</f>
        <v>920</v>
      </c>
      <c r="BM16" s="401">
        <f t="shared" si="20"/>
        <v>0.15</v>
      </c>
      <c r="BN16" s="398">
        <f>ROUND((IF($C$47+$F$23&gt;BH16,$F$27*$F$30,0)+IF($C$49+$H$23&gt;BH16,$H$27*$H$30,0)+IF($C$48+$G$23&gt;BH16,$G$27*$G$30,0))*BM16,0)</f>
        <v>659</v>
      </c>
      <c r="BO16" s="402"/>
      <c r="BP16" s="393">
        <f t="shared" si="21"/>
        <v>1579</v>
      </c>
      <c r="BR16" s="393">
        <f>ROUND($H$15*$H$30,0)</f>
        <v>0</v>
      </c>
      <c r="BS16" s="393"/>
      <c r="BT16" s="393">
        <f t="shared" si="33"/>
        <v>1579</v>
      </c>
      <c r="BW16" s="366">
        <f t="shared" si="34"/>
        <v>2017</v>
      </c>
      <c r="BX16" s="393">
        <f t="shared" si="22"/>
        <v>414</v>
      </c>
      <c r="BY16" s="369">
        <f t="shared" si="35"/>
        <v>218</v>
      </c>
      <c r="BZ16" s="403">
        <f t="shared" si="36"/>
        <v>110</v>
      </c>
      <c r="CA16" s="393">
        <f t="shared" si="37"/>
        <v>742</v>
      </c>
      <c r="CC16" s="393">
        <f t="shared" si="38"/>
        <v>0</v>
      </c>
      <c r="CD16" s="393">
        <f t="shared" si="38"/>
        <v>0</v>
      </c>
      <c r="CE16" s="393">
        <f t="shared" si="39"/>
        <v>0</v>
      </c>
      <c r="CF16" s="393"/>
      <c r="CG16" s="393">
        <f t="shared" ref="CG16:CG34" si="45">CA16-CE16</f>
        <v>742</v>
      </c>
    </row>
    <row r="17" spans="1:106">
      <c r="A17" s="185" t="s">
        <v>105</v>
      </c>
      <c r="C17" s="356">
        <f>+'Gas Input Table Summary'!$E$12</f>
        <v>2.577</v>
      </c>
      <c r="D17" s="404"/>
      <c r="E17" s="185" t="s">
        <v>64</v>
      </c>
      <c r="F17" s="195">
        <f>+'Gas Input Table Summary'!$E$35</f>
        <v>0</v>
      </c>
      <c r="G17" s="195"/>
      <c r="H17" s="195"/>
      <c r="J17" s="333">
        <f t="shared" si="23"/>
        <v>4</v>
      </c>
      <c r="L17" s="366">
        <f t="shared" si="24"/>
        <v>2018</v>
      </c>
      <c r="M17" s="386">
        <f t="shared" ref="M17:M34" si="46">ROUND(IF($C$47+$F$23&gt;L17,$F$25*$F$30,0)+IF($C$48+$G$23&gt;L17,$G$25*$G$30,0)+IF($C$49+$H$23&gt;L17,$H$25*$H$30,0),0)</f>
        <v>150</v>
      </c>
      <c r="N17" s="387">
        <f t="shared" si="40"/>
        <v>2.8570000000000002</v>
      </c>
      <c r="O17" s="388">
        <f t="shared" si="0"/>
        <v>429</v>
      </c>
      <c r="P17" s="387">
        <f t="shared" si="1"/>
        <v>0</v>
      </c>
      <c r="Q17" s="389">
        <f t="shared" si="25"/>
        <v>0</v>
      </c>
      <c r="R17" s="390">
        <f t="shared" si="2"/>
        <v>429</v>
      </c>
      <c r="S17" s="372">
        <f t="shared" si="3"/>
        <v>1.5</v>
      </c>
      <c r="T17" s="389">
        <f t="shared" si="41"/>
        <v>147</v>
      </c>
      <c r="U17" s="391">
        <f t="shared" si="42"/>
        <v>221</v>
      </c>
      <c r="V17" s="386">
        <f t="shared" si="26"/>
        <v>650</v>
      </c>
      <c r="W17" s="392">
        <f t="shared" si="4"/>
        <v>1.494</v>
      </c>
      <c r="X17" s="393">
        <f t="shared" si="5"/>
        <v>146</v>
      </c>
      <c r="Y17" s="393">
        <v>0</v>
      </c>
      <c r="Z17" s="393">
        <v>0</v>
      </c>
      <c r="AA17" s="389">
        <f t="shared" si="6"/>
        <v>146</v>
      </c>
      <c r="AB17" s="393">
        <f t="shared" si="7"/>
        <v>504</v>
      </c>
      <c r="AE17" s="366">
        <f t="shared" si="27"/>
        <v>2018</v>
      </c>
      <c r="AF17" s="393">
        <f t="shared" si="8"/>
        <v>429</v>
      </c>
      <c r="AG17" s="368">
        <f t="shared" si="9"/>
        <v>221</v>
      </c>
      <c r="AH17" s="393">
        <f t="shared" si="43"/>
        <v>650</v>
      </c>
      <c r="AJ17" s="394">
        <f t="shared" si="28"/>
        <v>0</v>
      </c>
      <c r="AK17" s="394">
        <f t="shared" si="28"/>
        <v>0</v>
      </c>
      <c r="AL17" s="395">
        <f t="shared" si="10"/>
        <v>0</v>
      </c>
      <c r="AN17" s="396">
        <f t="shared" si="11"/>
        <v>650</v>
      </c>
      <c r="AQ17" s="366">
        <f t="shared" si="29"/>
        <v>2018</v>
      </c>
      <c r="AR17" s="393">
        <f t="shared" si="12"/>
        <v>429</v>
      </c>
      <c r="AS17" s="393">
        <f t="shared" si="13"/>
        <v>221</v>
      </c>
      <c r="AT17" s="397">
        <f t="shared" si="14"/>
        <v>2.5999999999999999E-2</v>
      </c>
      <c r="AU17" s="398">
        <f t="shared" ref="AU17:AU34" si="47">ROUND((IF($C$47+$F$23&gt;$AQ17,$F$27*$F$30,0)+IF($C$48+$G$23&gt;AQ17,$G$27*$G$30,0)+IF($C$49+$H$23&gt;AQ17,$H$27*$H$30,0))*AT17,0)</f>
        <v>114</v>
      </c>
      <c r="AV17" s="387">
        <f t="shared" si="15"/>
        <v>0.38300000000000001</v>
      </c>
      <c r="AW17" s="393">
        <f t="shared" si="16"/>
        <v>57</v>
      </c>
      <c r="AX17" s="397"/>
      <c r="AY17" s="399"/>
      <c r="AZ17" s="393">
        <f t="shared" si="30"/>
        <v>821</v>
      </c>
      <c r="BA17" s="381"/>
      <c r="BB17" s="393">
        <v>0</v>
      </c>
      <c r="BC17" s="393">
        <v>0</v>
      </c>
      <c r="BD17" s="400">
        <f t="shared" si="31"/>
        <v>0</v>
      </c>
      <c r="BE17" s="393">
        <f t="shared" si="17"/>
        <v>821</v>
      </c>
      <c r="BH17" s="366">
        <f t="shared" si="32"/>
        <v>2018</v>
      </c>
      <c r="BI17" s="393">
        <v>0</v>
      </c>
      <c r="BJ17" s="369">
        <f t="shared" si="18"/>
        <v>150</v>
      </c>
      <c r="BK17" s="401">
        <f t="shared" si="19"/>
        <v>6.3460000000000001</v>
      </c>
      <c r="BL17" s="393">
        <f t="shared" si="44"/>
        <v>952</v>
      </c>
      <c r="BM17" s="401">
        <f t="shared" si="20"/>
        <v>0.155</v>
      </c>
      <c r="BN17" s="398">
        <f t="shared" ref="BN17:BN34" si="48">ROUND((IF($C$47+$F$23&gt;BH17,$F$27*$F$30,0)+IF($C$49+$H$23&gt;BH17,$H$27*$H$30,0)+IF($C$48+$G$23&gt;BH17,$G$27*$G$30,0))*BM17,0)</f>
        <v>681</v>
      </c>
      <c r="BO17" s="402"/>
      <c r="BP17" s="393">
        <f t="shared" si="21"/>
        <v>1633</v>
      </c>
      <c r="BR17" s="393">
        <f t="shared" ref="BR17:BR34" si="49">+BC17</f>
        <v>0</v>
      </c>
      <c r="BS17" s="393"/>
      <c r="BT17" s="393">
        <f t="shared" si="33"/>
        <v>1633</v>
      </c>
      <c r="BW17" s="366">
        <f t="shared" si="34"/>
        <v>2018</v>
      </c>
      <c r="BX17" s="393">
        <f t="shared" si="22"/>
        <v>429</v>
      </c>
      <c r="BY17" s="369">
        <f t="shared" si="35"/>
        <v>221</v>
      </c>
      <c r="BZ17" s="403">
        <f t="shared" si="36"/>
        <v>114</v>
      </c>
      <c r="CA17" s="393">
        <f t="shared" si="37"/>
        <v>764</v>
      </c>
      <c r="CC17" s="393">
        <f t="shared" si="38"/>
        <v>0</v>
      </c>
      <c r="CD17" s="393">
        <f t="shared" si="38"/>
        <v>0</v>
      </c>
      <c r="CE17" s="393">
        <f t="shared" si="39"/>
        <v>0</v>
      </c>
      <c r="CF17" s="393"/>
      <c r="CG17" s="393">
        <f t="shared" si="45"/>
        <v>764</v>
      </c>
    </row>
    <row r="18" spans="1:106">
      <c r="A18" s="185" t="s">
        <v>18</v>
      </c>
      <c r="C18" s="358">
        <f>+'Gas Input Table Summary'!$E$13</f>
        <v>3.5000000000000003E-2</v>
      </c>
      <c r="E18" s="187" t="s">
        <v>65</v>
      </c>
      <c r="F18" s="405">
        <f>+'Gas Input Table Summary'!$E$38</f>
        <v>0</v>
      </c>
      <c r="G18" s="405"/>
      <c r="H18" s="405"/>
      <c r="J18" s="333">
        <f t="shared" si="23"/>
        <v>5</v>
      </c>
      <c r="L18" s="366">
        <f t="shared" si="24"/>
        <v>2019</v>
      </c>
      <c r="M18" s="386">
        <f t="shared" si="46"/>
        <v>150</v>
      </c>
      <c r="N18" s="387">
        <f t="shared" si="40"/>
        <v>2.9569999999999999</v>
      </c>
      <c r="O18" s="388">
        <f t="shared" si="0"/>
        <v>444</v>
      </c>
      <c r="P18" s="387">
        <f t="shared" si="1"/>
        <v>0</v>
      </c>
      <c r="Q18" s="389">
        <f t="shared" si="25"/>
        <v>0</v>
      </c>
      <c r="R18" s="390">
        <f t="shared" si="2"/>
        <v>444</v>
      </c>
      <c r="S18" s="372">
        <f t="shared" si="3"/>
        <v>1.5</v>
      </c>
      <c r="T18" s="389">
        <f t="shared" si="41"/>
        <v>148</v>
      </c>
      <c r="U18" s="391">
        <f t="shared" si="42"/>
        <v>222</v>
      </c>
      <c r="V18" s="386">
        <f t="shared" si="26"/>
        <v>666</v>
      </c>
      <c r="W18" s="392">
        <f t="shared" si="4"/>
        <v>1.546</v>
      </c>
      <c r="X18" s="393">
        <f t="shared" si="5"/>
        <v>151</v>
      </c>
      <c r="Y18" s="393">
        <v>0</v>
      </c>
      <c r="Z18" s="393">
        <v>0</v>
      </c>
      <c r="AA18" s="389">
        <f t="shared" si="6"/>
        <v>151</v>
      </c>
      <c r="AB18" s="393">
        <f t="shared" si="7"/>
        <v>515</v>
      </c>
      <c r="AE18" s="366">
        <f t="shared" si="27"/>
        <v>2019</v>
      </c>
      <c r="AF18" s="393">
        <f t="shared" si="8"/>
        <v>444</v>
      </c>
      <c r="AG18" s="368">
        <f t="shared" si="9"/>
        <v>222</v>
      </c>
      <c r="AH18" s="393">
        <f t="shared" si="43"/>
        <v>666</v>
      </c>
      <c r="AJ18" s="394">
        <f t="shared" si="28"/>
        <v>0</v>
      </c>
      <c r="AK18" s="394">
        <f t="shared" si="28"/>
        <v>0</v>
      </c>
      <c r="AL18" s="395">
        <f t="shared" si="10"/>
        <v>0</v>
      </c>
      <c r="AN18" s="396">
        <f t="shared" si="11"/>
        <v>666</v>
      </c>
      <c r="AQ18" s="366">
        <f t="shared" si="29"/>
        <v>2019</v>
      </c>
      <c r="AR18" s="393">
        <f t="shared" si="12"/>
        <v>444</v>
      </c>
      <c r="AS18" s="393">
        <f t="shared" si="13"/>
        <v>222</v>
      </c>
      <c r="AT18" s="397">
        <f t="shared" si="14"/>
        <v>2.7E-2</v>
      </c>
      <c r="AU18" s="398">
        <f t="shared" si="47"/>
        <v>119</v>
      </c>
      <c r="AV18" s="387">
        <f t="shared" si="15"/>
        <v>0.39200000000000002</v>
      </c>
      <c r="AW18" s="393">
        <f t="shared" si="16"/>
        <v>59</v>
      </c>
      <c r="AX18" s="397"/>
      <c r="AY18" s="399"/>
      <c r="AZ18" s="393">
        <f t="shared" si="30"/>
        <v>844</v>
      </c>
      <c r="BA18" s="381"/>
      <c r="BB18" s="393">
        <v>0</v>
      </c>
      <c r="BC18" s="393">
        <v>0</v>
      </c>
      <c r="BD18" s="400">
        <f t="shared" si="31"/>
        <v>0</v>
      </c>
      <c r="BE18" s="393">
        <f t="shared" si="17"/>
        <v>844</v>
      </c>
      <c r="BH18" s="366">
        <f t="shared" si="32"/>
        <v>2019</v>
      </c>
      <c r="BI18" s="393">
        <v>0</v>
      </c>
      <c r="BJ18" s="369">
        <f t="shared" si="18"/>
        <v>150</v>
      </c>
      <c r="BK18" s="401">
        <f t="shared" si="19"/>
        <v>6.5679999999999996</v>
      </c>
      <c r="BL18" s="393">
        <f t="shared" si="44"/>
        <v>985</v>
      </c>
      <c r="BM18" s="401">
        <f t="shared" si="20"/>
        <v>0.16</v>
      </c>
      <c r="BN18" s="398">
        <f t="shared" si="48"/>
        <v>703</v>
      </c>
      <c r="BO18" s="402"/>
      <c r="BP18" s="393">
        <f t="shared" si="21"/>
        <v>1688</v>
      </c>
      <c r="BR18" s="393">
        <f t="shared" si="49"/>
        <v>0</v>
      </c>
      <c r="BS18" s="393"/>
      <c r="BT18" s="393">
        <f t="shared" si="33"/>
        <v>1688</v>
      </c>
      <c r="BW18" s="366">
        <f t="shared" si="34"/>
        <v>2019</v>
      </c>
      <c r="BX18" s="393">
        <f t="shared" si="22"/>
        <v>444</v>
      </c>
      <c r="BY18" s="369">
        <f t="shared" si="35"/>
        <v>222</v>
      </c>
      <c r="BZ18" s="403">
        <f t="shared" si="36"/>
        <v>119</v>
      </c>
      <c r="CA18" s="393">
        <f t="shared" si="37"/>
        <v>785</v>
      </c>
      <c r="CC18" s="393">
        <f t="shared" si="38"/>
        <v>0</v>
      </c>
      <c r="CD18" s="393">
        <f t="shared" si="38"/>
        <v>0</v>
      </c>
      <c r="CE18" s="393">
        <f t="shared" si="39"/>
        <v>0</v>
      </c>
      <c r="CF18" s="393"/>
      <c r="CG18" s="393">
        <f t="shared" si="45"/>
        <v>785</v>
      </c>
      <c r="DB18" s="337" t="s">
        <v>42</v>
      </c>
    </row>
    <row r="19" spans="1:106">
      <c r="C19" s="185"/>
      <c r="J19" s="333">
        <f t="shared" si="23"/>
        <v>6</v>
      </c>
      <c r="L19" s="366">
        <f t="shared" si="24"/>
        <v>2020</v>
      </c>
      <c r="M19" s="386">
        <f t="shared" si="46"/>
        <v>150</v>
      </c>
      <c r="N19" s="387">
        <f t="shared" si="40"/>
        <v>3.0609999999999999</v>
      </c>
      <c r="O19" s="388">
        <f t="shared" si="0"/>
        <v>459</v>
      </c>
      <c r="P19" s="387">
        <f t="shared" si="1"/>
        <v>0</v>
      </c>
      <c r="Q19" s="389">
        <f t="shared" si="25"/>
        <v>0</v>
      </c>
      <c r="R19" s="390">
        <f t="shared" si="2"/>
        <v>459</v>
      </c>
      <c r="S19" s="372">
        <f t="shared" si="3"/>
        <v>1.5</v>
      </c>
      <c r="T19" s="389">
        <f t="shared" si="41"/>
        <v>149</v>
      </c>
      <c r="U19" s="391">
        <f t="shared" si="42"/>
        <v>224</v>
      </c>
      <c r="V19" s="386">
        <f t="shared" si="26"/>
        <v>683</v>
      </c>
      <c r="W19" s="392">
        <f t="shared" si="4"/>
        <v>1.6</v>
      </c>
      <c r="X19" s="393">
        <f t="shared" si="5"/>
        <v>156</v>
      </c>
      <c r="Y19" s="393">
        <v>0</v>
      </c>
      <c r="Z19" s="393">
        <v>0</v>
      </c>
      <c r="AA19" s="389">
        <f t="shared" si="6"/>
        <v>156</v>
      </c>
      <c r="AB19" s="393">
        <f t="shared" si="7"/>
        <v>527</v>
      </c>
      <c r="AE19" s="366">
        <f t="shared" si="27"/>
        <v>2020</v>
      </c>
      <c r="AF19" s="393">
        <f t="shared" si="8"/>
        <v>459</v>
      </c>
      <c r="AG19" s="368">
        <f t="shared" si="9"/>
        <v>224</v>
      </c>
      <c r="AH19" s="393">
        <f t="shared" si="43"/>
        <v>683</v>
      </c>
      <c r="AJ19" s="394">
        <f t="shared" si="28"/>
        <v>0</v>
      </c>
      <c r="AK19" s="394">
        <f t="shared" si="28"/>
        <v>0</v>
      </c>
      <c r="AL19" s="395">
        <f t="shared" si="10"/>
        <v>0</v>
      </c>
      <c r="AN19" s="396">
        <f t="shared" si="11"/>
        <v>683</v>
      </c>
      <c r="AQ19" s="366">
        <f t="shared" si="29"/>
        <v>2020</v>
      </c>
      <c r="AR19" s="393">
        <f t="shared" si="12"/>
        <v>459</v>
      </c>
      <c r="AS19" s="393">
        <f t="shared" si="13"/>
        <v>224</v>
      </c>
      <c r="AT19" s="397">
        <f t="shared" si="14"/>
        <v>2.8000000000000001E-2</v>
      </c>
      <c r="AU19" s="398">
        <f t="shared" si="47"/>
        <v>123</v>
      </c>
      <c r="AV19" s="387">
        <f t="shared" si="15"/>
        <v>0.40100000000000002</v>
      </c>
      <c r="AW19" s="393">
        <f t="shared" si="16"/>
        <v>60</v>
      </c>
      <c r="AX19" s="397"/>
      <c r="AY19" s="399"/>
      <c r="AZ19" s="393">
        <f t="shared" si="30"/>
        <v>866</v>
      </c>
      <c r="BA19" s="381"/>
      <c r="BB19" s="393">
        <v>0</v>
      </c>
      <c r="BC19" s="393">
        <v>0</v>
      </c>
      <c r="BD19" s="400">
        <f t="shared" si="31"/>
        <v>0</v>
      </c>
      <c r="BE19" s="393">
        <f t="shared" si="17"/>
        <v>866</v>
      </c>
      <c r="BH19" s="366">
        <f t="shared" si="32"/>
        <v>2020</v>
      </c>
      <c r="BI19" s="393">
        <v>0</v>
      </c>
      <c r="BJ19" s="369">
        <f t="shared" si="18"/>
        <v>150</v>
      </c>
      <c r="BK19" s="401">
        <f t="shared" si="19"/>
        <v>6.798</v>
      </c>
      <c r="BL19" s="393">
        <f t="shared" si="44"/>
        <v>1020</v>
      </c>
      <c r="BM19" s="401">
        <f t="shared" si="20"/>
        <v>0.16600000000000001</v>
      </c>
      <c r="BN19" s="398">
        <f t="shared" si="48"/>
        <v>729</v>
      </c>
      <c r="BO19" s="402"/>
      <c r="BP19" s="393">
        <f t="shared" si="21"/>
        <v>1749</v>
      </c>
      <c r="BR19" s="393">
        <f t="shared" si="49"/>
        <v>0</v>
      </c>
      <c r="BS19" s="393"/>
      <c r="BT19" s="393">
        <f t="shared" si="33"/>
        <v>1749</v>
      </c>
      <c r="BW19" s="366">
        <f t="shared" si="34"/>
        <v>2020</v>
      </c>
      <c r="BX19" s="393">
        <f t="shared" si="22"/>
        <v>459</v>
      </c>
      <c r="BY19" s="369">
        <f t="shared" si="35"/>
        <v>224</v>
      </c>
      <c r="BZ19" s="403">
        <f t="shared" si="36"/>
        <v>123</v>
      </c>
      <c r="CA19" s="393">
        <f t="shared" si="37"/>
        <v>806</v>
      </c>
      <c r="CC19" s="393">
        <f t="shared" si="38"/>
        <v>0</v>
      </c>
      <c r="CD19" s="393">
        <f t="shared" si="38"/>
        <v>0</v>
      </c>
      <c r="CE19" s="393">
        <f t="shared" si="39"/>
        <v>0</v>
      </c>
      <c r="CF19" s="393"/>
      <c r="CG19" s="393">
        <f t="shared" si="45"/>
        <v>806</v>
      </c>
    </row>
    <row r="20" spans="1:106">
      <c r="A20" s="185" t="s">
        <v>66</v>
      </c>
      <c r="C20" s="406">
        <f>+'Gas Input Table Summary'!$E$14</f>
        <v>142.21</v>
      </c>
      <c r="E20" s="185" t="s">
        <v>67</v>
      </c>
      <c r="F20" s="195">
        <f>+'Gas Input Table Summary'!$E$41</f>
        <v>0</v>
      </c>
      <c r="G20" s="195"/>
      <c r="H20" s="195"/>
      <c r="J20" s="333">
        <f t="shared" si="23"/>
        <v>7</v>
      </c>
      <c r="L20" s="366">
        <f t="shared" si="24"/>
        <v>2021</v>
      </c>
      <c r="M20" s="386">
        <f t="shared" si="46"/>
        <v>150</v>
      </c>
      <c r="N20" s="387">
        <f t="shared" si="40"/>
        <v>3.1680000000000001</v>
      </c>
      <c r="O20" s="388">
        <f t="shared" si="0"/>
        <v>475</v>
      </c>
      <c r="P20" s="387">
        <f t="shared" si="1"/>
        <v>0</v>
      </c>
      <c r="Q20" s="389">
        <f t="shared" si="25"/>
        <v>0</v>
      </c>
      <c r="R20" s="390">
        <f t="shared" si="2"/>
        <v>475</v>
      </c>
      <c r="S20" s="372">
        <f t="shared" si="3"/>
        <v>1.5</v>
      </c>
      <c r="T20" s="389">
        <f t="shared" si="41"/>
        <v>151</v>
      </c>
      <c r="U20" s="391">
        <f t="shared" si="42"/>
        <v>227</v>
      </c>
      <c r="V20" s="386">
        <f t="shared" si="26"/>
        <v>702</v>
      </c>
      <c r="W20" s="392">
        <f t="shared" si="4"/>
        <v>1.657</v>
      </c>
      <c r="X20" s="393">
        <f t="shared" si="5"/>
        <v>162</v>
      </c>
      <c r="Y20" s="393">
        <v>0</v>
      </c>
      <c r="Z20" s="393">
        <v>0</v>
      </c>
      <c r="AA20" s="389">
        <f t="shared" si="6"/>
        <v>162</v>
      </c>
      <c r="AB20" s="393">
        <f t="shared" si="7"/>
        <v>540</v>
      </c>
      <c r="AE20" s="366">
        <f t="shared" si="27"/>
        <v>2021</v>
      </c>
      <c r="AF20" s="393">
        <f t="shared" si="8"/>
        <v>475</v>
      </c>
      <c r="AG20" s="368">
        <f t="shared" si="9"/>
        <v>227</v>
      </c>
      <c r="AH20" s="393">
        <f t="shared" si="43"/>
        <v>702</v>
      </c>
      <c r="AJ20" s="394">
        <f t="shared" si="28"/>
        <v>0</v>
      </c>
      <c r="AK20" s="394">
        <f t="shared" si="28"/>
        <v>0</v>
      </c>
      <c r="AL20" s="395">
        <f t="shared" si="10"/>
        <v>0</v>
      </c>
      <c r="AN20" s="396">
        <f t="shared" si="11"/>
        <v>702</v>
      </c>
      <c r="AQ20" s="366">
        <f t="shared" si="29"/>
        <v>2021</v>
      </c>
      <c r="AR20" s="393">
        <f t="shared" si="12"/>
        <v>475</v>
      </c>
      <c r="AS20" s="393">
        <f t="shared" si="13"/>
        <v>227</v>
      </c>
      <c r="AT20" s="397">
        <f t="shared" si="14"/>
        <v>2.9000000000000001E-2</v>
      </c>
      <c r="AU20" s="398">
        <f t="shared" si="47"/>
        <v>127</v>
      </c>
      <c r="AV20" s="387">
        <f t="shared" si="15"/>
        <v>0.41</v>
      </c>
      <c r="AW20" s="393">
        <f t="shared" si="16"/>
        <v>62</v>
      </c>
      <c r="AX20" s="397"/>
      <c r="AY20" s="399"/>
      <c r="AZ20" s="393">
        <f t="shared" si="30"/>
        <v>891</v>
      </c>
      <c r="BA20" s="381"/>
      <c r="BB20" s="393">
        <v>0</v>
      </c>
      <c r="BC20" s="393">
        <v>0</v>
      </c>
      <c r="BD20" s="400">
        <f t="shared" si="31"/>
        <v>0</v>
      </c>
      <c r="BE20" s="393">
        <f t="shared" si="17"/>
        <v>891</v>
      </c>
      <c r="BH20" s="366">
        <f t="shared" si="32"/>
        <v>2021</v>
      </c>
      <c r="BI20" s="393">
        <v>0</v>
      </c>
      <c r="BJ20" s="369">
        <f t="shared" si="18"/>
        <v>150</v>
      </c>
      <c r="BK20" s="401">
        <f t="shared" si="19"/>
        <v>7.0359999999999996</v>
      </c>
      <c r="BL20" s="393">
        <f t="shared" si="44"/>
        <v>1055</v>
      </c>
      <c r="BM20" s="401">
        <f t="shared" si="20"/>
        <v>0.17199999999999999</v>
      </c>
      <c r="BN20" s="398">
        <f t="shared" si="48"/>
        <v>755</v>
      </c>
      <c r="BO20" s="402"/>
      <c r="BP20" s="393">
        <f t="shared" si="21"/>
        <v>1810</v>
      </c>
      <c r="BR20" s="393">
        <f t="shared" si="49"/>
        <v>0</v>
      </c>
      <c r="BS20" s="393"/>
      <c r="BT20" s="393">
        <f t="shared" si="33"/>
        <v>1810</v>
      </c>
      <c r="BW20" s="366">
        <f t="shared" si="34"/>
        <v>2021</v>
      </c>
      <c r="BX20" s="393">
        <f t="shared" si="22"/>
        <v>475</v>
      </c>
      <c r="BY20" s="369">
        <f t="shared" si="35"/>
        <v>227</v>
      </c>
      <c r="BZ20" s="403">
        <f t="shared" si="36"/>
        <v>127</v>
      </c>
      <c r="CA20" s="393">
        <f t="shared" si="37"/>
        <v>829</v>
      </c>
      <c r="CC20" s="393">
        <f t="shared" si="38"/>
        <v>0</v>
      </c>
      <c r="CD20" s="393">
        <f t="shared" si="38"/>
        <v>0</v>
      </c>
      <c r="CE20" s="393">
        <f t="shared" si="39"/>
        <v>0</v>
      </c>
      <c r="CF20" s="393"/>
      <c r="CG20" s="393">
        <f t="shared" si="45"/>
        <v>829</v>
      </c>
      <c r="DB20" s="366"/>
    </row>
    <row r="21" spans="1:106">
      <c r="A21" s="185" t="s">
        <v>18</v>
      </c>
      <c r="C21" s="358">
        <f>+'Gas Input Table Summary'!$E$15</f>
        <v>0.01</v>
      </c>
      <c r="E21" s="187" t="s">
        <v>65</v>
      </c>
      <c r="F21" s="405">
        <f>+'Gas Input Table Summary'!$E$44</f>
        <v>0</v>
      </c>
      <c r="G21" s="405"/>
      <c r="H21" s="405"/>
      <c r="J21" s="333">
        <f t="shared" si="23"/>
        <v>8</v>
      </c>
      <c r="L21" s="366">
        <f t="shared" si="24"/>
        <v>2022</v>
      </c>
      <c r="M21" s="386">
        <f t="shared" si="46"/>
        <v>150</v>
      </c>
      <c r="N21" s="387">
        <f t="shared" si="40"/>
        <v>3.2789999999999999</v>
      </c>
      <c r="O21" s="388">
        <f t="shared" si="0"/>
        <v>492</v>
      </c>
      <c r="P21" s="387">
        <f t="shared" si="1"/>
        <v>0</v>
      </c>
      <c r="Q21" s="389">
        <f t="shared" si="25"/>
        <v>0</v>
      </c>
      <c r="R21" s="390">
        <f t="shared" si="2"/>
        <v>492</v>
      </c>
      <c r="S21" s="372">
        <f t="shared" si="3"/>
        <v>1.5</v>
      </c>
      <c r="T21" s="389">
        <f t="shared" si="41"/>
        <v>152</v>
      </c>
      <c r="U21" s="391">
        <f t="shared" si="42"/>
        <v>228</v>
      </c>
      <c r="V21" s="386">
        <f t="shared" si="26"/>
        <v>720</v>
      </c>
      <c r="W21" s="392">
        <f t="shared" si="4"/>
        <v>1.714</v>
      </c>
      <c r="X21" s="393">
        <f t="shared" si="5"/>
        <v>167</v>
      </c>
      <c r="Y21" s="393">
        <v>0</v>
      </c>
      <c r="Z21" s="393">
        <v>0</v>
      </c>
      <c r="AA21" s="389">
        <f t="shared" si="6"/>
        <v>167</v>
      </c>
      <c r="AB21" s="393">
        <f t="shared" si="7"/>
        <v>553</v>
      </c>
      <c r="AE21" s="366">
        <f t="shared" si="27"/>
        <v>2022</v>
      </c>
      <c r="AF21" s="393">
        <f t="shared" si="8"/>
        <v>492</v>
      </c>
      <c r="AG21" s="368">
        <f t="shared" si="9"/>
        <v>228</v>
      </c>
      <c r="AH21" s="393">
        <f t="shared" si="43"/>
        <v>720</v>
      </c>
      <c r="AJ21" s="394">
        <f t="shared" si="28"/>
        <v>0</v>
      </c>
      <c r="AK21" s="394">
        <f t="shared" si="28"/>
        <v>0</v>
      </c>
      <c r="AL21" s="395">
        <f t="shared" si="10"/>
        <v>0</v>
      </c>
      <c r="AN21" s="396">
        <f t="shared" si="11"/>
        <v>720</v>
      </c>
      <c r="AQ21" s="366">
        <f t="shared" si="29"/>
        <v>2022</v>
      </c>
      <c r="AR21" s="393">
        <f t="shared" si="12"/>
        <v>492</v>
      </c>
      <c r="AS21" s="393">
        <f t="shared" si="13"/>
        <v>228</v>
      </c>
      <c r="AT21" s="397">
        <f t="shared" si="14"/>
        <v>0.03</v>
      </c>
      <c r="AU21" s="398">
        <f t="shared" si="47"/>
        <v>132</v>
      </c>
      <c r="AV21" s="387">
        <f t="shared" si="15"/>
        <v>0.42</v>
      </c>
      <c r="AW21" s="393">
        <f t="shared" si="16"/>
        <v>63</v>
      </c>
      <c r="AX21" s="397"/>
      <c r="AY21" s="399"/>
      <c r="AZ21" s="393">
        <f t="shared" si="30"/>
        <v>915</v>
      </c>
      <c r="BA21" s="381"/>
      <c r="BB21" s="393">
        <v>0</v>
      </c>
      <c r="BC21" s="393">
        <v>0</v>
      </c>
      <c r="BD21" s="400">
        <f t="shared" si="31"/>
        <v>0</v>
      </c>
      <c r="BE21" s="393">
        <f t="shared" si="17"/>
        <v>915</v>
      </c>
      <c r="BH21" s="366">
        <f t="shared" si="32"/>
        <v>2022</v>
      </c>
      <c r="BI21" s="393">
        <v>0</v>
      </c>
      <c r="BJ21" s="369">
        <f t="shared" si="18"/>
        <v>150</v>
      </c>
      <c r="BK21" s="401">
        <f t="shared" si="19"/>
        <v>7.282</v>
      </c>
      <c r="BL21" s="393">
        <f t="shared" si="44"/>
        <v>1092</v>
      </c>
      <c r="BM21" s="401">
        <f t="shared" si="20"/>
        <v>0.17799999999999999</v>
      </c>
      <c r="BN21" s="398">
        <f t="shared" si="48"/>
        <v>782</v>
      </c>
      <c r="BO21" s="402"/>
      <c r="BP21" s="393">
        <f t="shared" si="21"/>
        <v>1874</v>
      </c>
      <c r="BR21" s="393">
        <f t="shared" si="49"/>
        <v>0</v>
      </c>
      <c r="BS21" s="393"/>
      <c r="BT21" s="393">
        <f t="shared" si="33"/>
        <v>1874</v>
      </c>
      <c r="BW21" s="366">
        <f t="shared" si="34"/>
        <v>2022</v>
      </c>
      <c r="BX21" s="393">
        <f t="shared" si="22"/>
        <v>492</v>
      </c>
      <c r="BY21" s="369">
        <f t="shared" si="35"/>
        <v>228</v>
      </c>
      <c r="BZ21" s="403">
        <f t="shared" si="36"/>
        <v>132</v>
      </c>
      <c r="CA21" s="393">
        <f t="shared" si="37"/>
        <v>852</v>
      </c>
      <c r="CC21" s="393">
        <f t="shared" si="38"/>
        <v>0</v>
      </c>
      <c r="CD21" s="393">
        <f t="shared" si="38"/>
        <v>0</v>
      </c>
      <c r="CE21" s="393">
        <f t="shared" si="39"/>
        <v>0</v>
      </c>
      <c r="CF21" s="393"/>
      <c r="CG21" s="393">
        <f t="shared" si="45"/>
        <v>852</v>
      </c>
      <c r="DB21" s="333">
        <f>$J14</f>
        <v>1</v>
      </c>
    </row>
    <row r="22" spans="1:106">
      <c r="F22" s="368"/>
      <c r="G22" s="368"/>
      <c r="H22" s="368"/>
      <c r="J22" s="333">
        <f t="shared" si="23"/>
        <v>9</v>
      </c>
      <c r="L22" s="366">
        <f t="shared" si="24"/>
        <v>2023</v>
      </c>
      <c r="M22" s="386">
        <f t="shared" si="46"/>
        <v>150</v>
      </c>
      <c r="N22" s="387">
        <f t="shared" si="40"/>
        <v>3.3929999999999998</v>
      </c>
      <c r="O22" s="388">
        <f t="shared" si="0"/>
        <v>509</v>
      </c>
      <c r="P22" s="387">
        <f t="shared" si="1"/>
        <v>0</v>
      </c>
      <c r="Q22" s="389">
        <f t="shared" si="25"/>
        <v>0</v>
      </c>
      <c r="R22" s="390">
        <f t="shared" si="2"/>
        <v>509</v>
      </c>
      <c r="S22" s="372">
        <f t="shared" si="3"/>
        <v>1.5</v>
      </c>
      <c r="T22" s="389">
        <f t="shared" si="41"/>
        <v>154</v>
      </c>
      <c r="U22" s="391">
        <f t="shared" si="42"/>
        <v>231</v>
      </c>
      <c r="V22" s="386">
        <f t="shared" si="26"/>
        <v>740</v>
      </c>
      <c r="W22" s="392">
        <f t="shared" si="4"/>
        <v>1.774</v>
      </c>
      <c r="X22" s="393">
        <f t="shared" si="5"/>
        <v>173</v>
      </c>
      <c r="Y22" s="393">
        <v>0</v>
      </c>
      <c r="Z22" s="393">
        <v>0</v>
      </c>
      <c r="AA22" s="389">
        <f t="shared" si="6"/>
        <v>173</v>
      </c>
      <c r="AB22" s="393">
        <f t="shared" si="7"/>
        <v>567</v>
      </c>
      <c r="AE22" s="366">
        <f t="shared" si="27"/>
        <v>2023</v>
      </c>
      <c r="AF22" s="393">
        <f t="shared" si="8"/>
        <v>509</v>
      </c>
      <c r="AG22" s="368">
        <f t="shared" si="9"/>
        <v>231</v>
      </c>
      <c r="AH22" s="393">
        <f t="shared" si="43"/>
        <v>740</v>
      </c>
      <c r="AJ22" s="394">
        <f t="shared" si="28"/>
        <v>0</v>
      </c>
      <c r="AK22" s="394">
        <f t="shared" si="28"/>
        <v>0</v>
      </c>
      <c r="AL22" s="395">
        <f t="shared" si="10"/>
        <v>0</v>
      </c>
      <c r="AN22" s="396">
        <f t="shared" si="11"/>
        <v>740</v>
      </c>
      <c r="AQ22" s="366">
        <f t="shared" si="29"/>
        <v>2023</v>
      </c>
      <c r="AR22" s="393">
        <f t="shared" si="12"/>
        <v>509</v>
      </c>
      <c r="AS22" s="393">
        <f t="shared" si="13"/>
        <v>231</v>
      </c>
      <c r="AT22" s="397">
        <f t="shared" si="14"/>
        <v>3.1E-2</v>
      </c>
      <c r="AU22" s="398">
        <f t="shared" si="47"/>
        <v>136</v>
      </c>
      <c r="AV22" s="387">
        <f t="shared" si="15"/>
        <v>0.42899999999999999</v>
      </c>
      <c r="AW22" s="393">
        <f t="shared" si="16"/>
        <v>64</v>
      </c>
      <c r="AX22" s="397"/>
      <c r="AY22" s="399"/>
      <c r="AZ22" s="393">
        <f t="shared" si="30"/>
        <v>940</v>
      </c>
      <c r="BA22" s="381"/>
      <c r="BB22" s="393">
        <v>0</v>
      </c>
      <c r="BC22" s="393">
        <v>0</v>
      </c>
      <c r="BD22" s="400">
        <f t="shared" si="31"/>
        <v>0</v>
      </c>
      <c r="BE22" s="393">
        <f t="shared" si="17"/>
        <v>940</v>
      </c>
      <c r="BH22" s="366">
        <f t="shared" si="32"/>
        <v>2023</v>
      </c>
      <c r="BI22" s="393">
        <v>0</v>
      </c>
      <c r="BJ22" s="369">
        <f t="shared" si="18"/>
        <v>150</v>
      </c>
      <c r="BK22" s="401">
        <f t="shared" si="19"/>
        <v>7.5369999999999999</v>
      </c>
      <c r="BL22" s="393">
        <f t="shared" si="44"/>
        <v>1131</v>
      </c>
      <c r="BM22" s="401">
        <f t="shared" si="20"/>
        <v>0.184</v>
      </c>
      <c r="BN22" s="398">
        <f t="shared" si="48"/>
        <v>808</v>
      </c>
      <c r="BO22" s="402"/>
      <c r="BP22" s="393">
        <f t="shared" si="21"/>
        <v>1939</v>
      </c>
      <c r="BR22" s="393">
        <f t="shared" si="49"/>
        <v>0</v>
      </c>
      <c r="BS22" s="393"/>
      <c r="BT22" s="393">
        <f t="shared" si="33"/>
        <v>1939</v>
      </c>
      <c r="BW22" s="366">
        <f t="shared" si="34"/>
        <v>2023</v>
      </c>
      <c r="BX22" s="393">
        <f t="shared" si="22"/>
        <v>509</v>
      </c>
      <c r="BY22" s="369">
        <f t="shared" si="35"/>
        <v>231</v>
      </c>
      <c r="BZ22" s="403">
        <f t="shared" si="36"/>
        <v>136</v>
      </c>
      <c r="CA22" s="393">
        <f t="shared" si="37"/>
        <v>876</v>
      </c>
      <c r="CC22" s="393">
        <f t="shared" si="38"/>
        <v>0</v>
      </c>
      <c r="CD22" s="393">
        <f t="shared" si="38"/>
        <v>0</v>
      </c>
      <c r="CE22" s="393">
        <f t="shared" si="39"/>
        <v>0</v>
      </c>
      <c r="CF22" s="393"/>
      <c r="CG22" s="393">
        <f t="shared" si="45"/>
        <v>876</v>
      </c>
      <c r="DB22" s="333">
        <f>$J15</f>
        <v>2</v>
      </c>
    </row>
    <row r="23" spans="1:106">
      <c r="A23" s="185" t="s">
        <v>68</v>
      </c>
      <c r="C23" s="407">
        <f>+'Gas Input Table Summary'!$E$16</f>
        <v>0.01</v>
      </c>
      <c r="E23" s="185" t="s">
        <v>69</v>
      </c>
      <c r="F23" s="408">
        <f>ROUND('Database Inputs'!D17,0)</f>
        <v>20</v>
      </c>
      <c r="G23" s="408"/>
      <c r="H23" s="408"/>
      <c r="J23" s="333">
        <f t="shared" si="23"/>
        <v>10</v>
      </c>
      <c r="L23" s="366">
        <f t="shared" si="24"/>
        <v>2024</v>
      </c>
      <c r="M23" s="386">
        <f t="shared" si="46"/>
        <v>150</v>
      </c>
      <c r="N23" s="387">
        <f t="shared" si="40"/>
        <v>3.512</v>
      </c>
      <c r="O23" s="388">
        <f t="shared" si="0"/>
        <v>527</v>
      </c>
      <c r="P23" s="387">
        <f t="shared" si="1"/>
        <v>0</v>
      </c>
      <c r="Q23" s="389">
        <f t="shared" si="25"/>
        <v>0</v>
      </c>
      <c r="R23" s="390">
        <f t="shared" si="2"/>
        <v>527</v>
      </c>
      <c r="S23" s="372">
        <f t="shared" si="3"/>
        <v>1.5</v>
      </c>
      <c r="T23" s="389">
        <f t="shared" si="41"/>
        <v>156</v>
      </c>
      <c r="U23" s="391">
        <f t="shared" si="42"/>
        <v>234</v>
      </c>
      <c r="V23" s="386">
        <f t="shared" si="26"/>
        <v>761</v>
      </c>
      <c r="W23" s="392">
        <f t="shared" si="4"/>
        <v>1.837</v>
      </c>
      <c r="X23" s="393">
        <f t="shared" si="5"/>
        <v>179</v>
      </c>
      <c r="Y23" s="393">
        <v>0</v>
      </c>
      <c r="Z23" s="393">
        <v>0</v>
      </c>
      <c r="AA23" s="389">
        <f t="shared" si="6"/>
        <v>179</v>
      </c>
      <c r="AB23" s="393">
        <f t="shared" si="7"/>
        <v>582</v>
      </c>
      <c r="AE23" s="366">
        <f t="shared" si="27"/>
        <v>2024</v>
      </c>
      <c r="AF23" s="393">
        <f t="shared" si="8"/>
        <v>527</v>
      </c>
      <c r="AG23" s="368">
        <f t="shared" si="9"/>
        <v>234</v>
      </c>
      <c r="AH23" s="393">
        <f t="shared" si="43"/>
        <v>761</v>
      </c>
      <c r="AJ23" s="394">
        <f t="shared" si="28"/>
        <v>0</v>
      </c>
      <c r="AK23" s="394">
        <f t="shared" si="28"/>
        <v>0</v>
      </c>
      <c r="AL23" s="395">
        <f t="shared" si="10"/>
        <v>0</v>
      </c>
      <c r="AN23" s="396">
        <f t="shared" si="11"/>
        <v>761</v>
      </c>
      <c r="AQ23" s="366">
        <f t="shared" si="29"/>
        <v>2024</v>
      </c>
      <c r="AR23" s="393">
        <f t="shared" si="12"/>
        <v>527</v>
      </c>
      <c r="AS23" s="393">
        <f t="shared" si="13"/>
        <v>234</v>
      </c>
      <c r="AT23" s="397">
        <f t="shared" si="14"/>
        <v>3.2000000000000001E-2</v>
      </c>
      <c r="AU23" s="398">
        <f t="shared" si="47"/>
        <v>141</v>
      </c>
      <c r="AV23" s="387">
        <f t="shared" si="15"/>
        <v>0.439</v>
      </c>
      <c r="AW23" s="393">
        <f t="shared" si="16"/>
        <v>66</v>
      </c>
      <c r="AX23" s="397"/>
      <c r="AY23" s="399"/>
      <c r="AZ23" s="393">
        <f t="shared" si="30"/>
        <v>968</v>
      </c>
      <c r="BA23" s="381"/>
      <c r="BB23" s="393">
        <v>0</v>
      </c>
      <c r="BC23" s="393">
        <v>0</v>
      </c>
      <c r="BD23" s="400">
        <f t="shared" si="31"/>
        <v>0</v>
      </c>
      <c r="BE23" s="393">
        <f t="shared" si="17"/>
        <v>968</v>
      </c>
      <c r="BH23" s="366">
        <f t="shared" si="32"/>
        <v>2024</v>
      </c>
      <c r="BI23" s="393">
        <v>0</v>
      </c>
      <c r="BJ23" s="369">
        <f t="shared" si="18"/>
        <v>150</v>
      </c>
      <c r="BK23" s="401">
        <f t="shared" si="19"/>
        <v>7.8010000000000002</v>
      </c>
      <c r="BL23" s="393">
        <f t="shared" si="44"/>
        <v>1170</v>
      </c>
      <c r="BM23" s="401">
        <f t="shared" si="20"/>
        <v>0.19</v>
      </c>
      <c r="BN23" s="398">
        <f t="shared" si="48"/>
        <v>834</v>
      </c>
      <c r="BO23" s="402"/>
      <c r="BP23" s="393">
        <f t="shared" si="21"/>
        <v>2004</v>
      </c>
      <c r="BR23" s="393">
        <f t="shared" si="49"/>
        <v>0</v>
      </c>
      <c r="BS23" s="393"/>
      <c r="BT23" s="393">
        <f t="shared" si="33"/>
        <v>2004</v>
      </c>
      <c r="BW23" s="366">
        <f t="shared" si="34"/>
        <v>2024</v>
      </c>
      <c r="BX23" s="393">
        <f t="shared" si="22"/>
        <v>527</v>
      </c>
      <c r="BY23" s="369">
        <f t="shared" si="35"/>
        <v>234</v>
      </c>
      <c r="BZ23" s="403">
        <f t="shared" si="36"/>
        <v>141</v>
      </c>
      <c r="CA23" s="393">
        <f t="shared" si="37"/>
        <v>902</v>
      </c>
      <c r="CC23" s="393">
        <f t="shared" si="38"/>
        <v>0</v>
      </c>
      <c r="CD23" s="393">
        <f t="shared" si="38"/>
        <v>0</v>
      </c>
      <c r="CE23" s="393">
        <f t="shared" si="39"/>
        <v>0</v>
      </c>
      <c r="CF23" s="393"/>
      <c r="CG23" s="393">
        <f t="shared" si="45"/>
        <v>902</v>
      </c>
      <c r="DB23" s="333">
        <f>$J16</f>
        <v>3</v>
      </c>
    </row>
    <row r="24" spans="1:106">
      <c r="F24" s="368"/>
      <c r="G24" s="368"/>
      <c r="H24" s="368"/>
      <c r="J24" s="333">
        <f t="shared" si="23"/>
        <v>11</v>
      </c>
      <c r="L24" s="366">
        <f t="shared" si="24"/>
        <v>2025</v>
      </c>
      <c r="M24" s="386">
        <f t="shared" si="46"/>
        <v>150</v>
      </c>
      <c r="N24" s="387">
        <f t="shared" si="40"/>
        <v>3.6349999999999998</v>
      </c>
      <c r="O24" s="388">
        <f t="shared" si="0"/>
        <v>545</v>
      </c>
      <c r="P24" s="387">
        <f t="shared" si="1"/>
        <v>0</v>
      </c>
      <c r="Q24" s="389">
        <f t="shared" si="25"/>
        <v>0</v>
      </c>
      <c r="R24" s="390">
        <f t="shared" si="2"/>
        <v>545</v>
      </c>
      <c r="S24" s="372">
        <f t="shared" si="3"/>
        <v>1.5</v>
      </c>
      <c r="T24" s="389">
        <f t="shared" si="41"/>
        <v>157</v>
      </c>
      <c r="U24" s="391">
        <f t="shared" si="42"/>
        <v>236</v>
      </c>
      <c r="V24" s="386">
        <f t="shared" si="26"/>
        <v>781</v>
      </c>
      <c r="W24" s="392">
        <f t="shared" si="4"/>
        <v>1.901</v>
      </c>
      <c r="X24" s="393">
        <f t="shared" si="5"/>
        <v>185</v>
      </c>
      <c r="Y24" s="393">
        <v>0</v>
      </c>
      <c r="Z24" s="393">
        <v>0</v>
      </c>
      <c r="AA24" s="389">
        <f t="shared" si="6"/>
        <v>185</v>
      </c>
      <c r="AB24" s="393">
        <f t="shared" si="7"/>
        <v>596</v>
      </c>
      <c r="AE24" s="366">
        <f t="shared" si="27"/>
        <v>2025</v>
      </c>
      <c r="AF24" s="393">
        <f t="shared" si="8"/>
        <v>545</v>
      </c>
      <c r="AG24" s="368">
        <f t="shared" si="9"/>
        <v>236</v>
      </c>
      <c r="AH24" s="393">
        <f t="shared" si="43"/>
        <v>781</v>
      </c>
      <c r="AJ24" s="394">
        <f t="shared" si="28"/>
        <v>0</v>
      </c>
      <c r="AK24" s="394">
        <f t="shared" si="28"/>
        <v>0</v>
      </c>
      <c r="AL24" s="395">
        <f t="shared" si="10"/>
        <v>0</v>
      </c>
      <c r="AN24" s="396">
        <f t="shared" si="11"/>
        <v>781</v>
      </c>
      <c r="AQ24" s="366">
        <f t="shared" si="29"/>
        <v>2025</v>
      </c>
      <c r="AR24" s="393">
        <f t="shared" si="12"/>
        <v>545</v>
      </c>
      <c r="AS24" s="393">
        <f t="shared" si="13"/>
        <v>236</v>
      </c>
      <c r="AT24" s="397">
        <f t="shared" si="14"/>
        <v>3.4000000000000002E-2</v>
      </c>
      <c r="AU24" s="398">
        <f t="shared" si="47"/>
        <v>149</v>
      </c>
      <c r="AV24" s="387">
        <f t="shared" si="15"/>
        <v>0.44900000000000001</v>
      </c>
      <c r="AW24" s="393">
        <f t="shared" si="16"/>
        <v>67</v>
      </c>
      <c r="AX24" s="397"/>
      <c r="AY24" s="399"/>
      <c r="AZ24" s="393">
        <f t="shared" si="30"/>
        <v>997</v>
      </c>
      <c r="BA24" s="381"/>
      <c r="BB24" s="393">
        <v>0</v>
      </c>
      <c r="BC24" s="393">
        <v>0</v>
      </c>
      <c r="BD24" s="400">
        <f t="shared" si="31"/>
        <v>0</v>
      </c>
      <c r="BE24" s="393">
        <f t="shared" si="17"/>
        <v>997</v>
      </c>
      <c r="BH24" s="366">
        <f t="shared" si="32"/>
        <v>2025</v>
      </c>
      <c r="BI24" s="393">
        <v>0</v>
      </c>
      <c r="BJ24" s="369">
        <f t="shared" si="18"/>
        <v>150</v>
      </c>
      <c r="BK24" s="401">
        <f t="shared" si="19"/>
        <v>8.0739999999999998</v>
      </c>
      <c r="BL24" s="393">
        <f t="shared" si="44"/>
        <v>1211</v>
      </c>
      <c r="BM24" s="401">
        <f t="shared" si="20"/>
        <v>0.19700000000000001</v>
      </c>
      <c r="BN24" s="398">
        <f t="shared" si="48"/>
        <v>865</v>
      </c>
      <c r="BO24" s="402"/>
      <c r="BP24" s="393">
        <f t="shared" si="21"/>
        <v>2076</v>
      </c>
      <c r="BR24" s="393">
        <f t="shared" si="49"/>
        <v>0</v>
      </c>
      <c r="BS24" s="393"/>
      <c r="BT24" s="393">
        <f t="shared" si="33"/>
        <v>2076</v>
      </c>
      <c r="BW24" s="366">
        <f t="shared" si="34"/>
        <v>2025</v>
      </c>
      <c r="BX24" s="393">
        <f t="shared" si="22"/>
        <v>545</v>
      </c>
      <c r="BY24" s="369">
        <f t="shared" si="35"/>
        <v>236</v>
      </c>
      <c r="BZ24" s="403">
        <f t="shared" si="36"/>
        <v>149</v>
      </c>
      <c r="CA24" s="393">
        <f t="shared" si="37"/>
        <v>930</v>
      </c>
      <c r="CC24" s="393">
        <f t="shared" si="38"/>
        <v>0</v>
      </c>
      <c r="CD24" s="393">
        <f t="shared" si="38"/>
        <v>0</v>
      </c>
      <c r="CE24" s="393">
        <f t="shared" si="39"/>
        <v>0</v>
      </c>
      <c r="CF24" s="393"/>
      <c r="CG24" s="393">
        <f t="shared" si="45"/>
        <v>930</v>
      </c>
      <c r="DB24" s="333">
        <f>$J17</f>
        <v>4</v>
      </c>
    </row>
    <row r="25" spans="1:106">
      <c r="A25" s="187" t="s">
        <v>106</v>
      </c>
      <c r="C25" s="356">
        <f>+'Gas Input Table Summary'!$E$17</f>
        <v>0</v>
      </c>
      <c r="E25" s="193" t="s">
        <v>102</v>
      </c>
      <c r="F25" s="197">
        <f>+ROUND(F32/F30,3)</f>
        <v>25</v>
      </c>
      <c r="G25" s="197"/>
      <c r="H25" s="197"/>
      <c r="J25" s="333">
        <f t="shared" si="23"/>
        <v>12</v>
      </c>
      <c r="L25" s="366">
        <f t="shared" si="24"/>
        <v>2026</v>
      </c>
      <c r="M25" s="386">
        <f t="shared" si="46"/>
        <v>150</v>
      </c>
      <c r="N25" s="387">
        <f t="shared" si="40"/>
        <v>3.762</v>
      </c>
      <c r="O25" s="388">
        <f t="shared" si="0"/>
        <v>564</v>
      </c>
      <c r="P25" s="387">
        <f t="shared" si="1"/>
        <v>0</v>
      </c>
      <c r="Q25" s="389">
        <f t="shared" si="25"/>
        <v>0</v>
      </c>
      <c r="R25" s="390">
        <f t="shared" si="2"/>
        <v>564</v>
      </c>
      <c r="S25" s="372">
        <f t="shared" si="3"/>
        <v>1.5</v>
      </c>
      <c r="T25" s="389">
        <f t="shared" si="41"/>
        <v>159</v>
      </c>
      <c r="U25" s="391">
        <f t="shared" si="42"/>
        <v>239</v>
      </c>
      <c r="V25" s="386">
        <f t="shared" si="26"/>
        <v>803</v>
      </c>
      <c r="W25" s="392">
        <f t="shared" si="4"/>
        <v>1.9670000000000001</v>
      </c>
      <c r="X25" s="393">
        <f t="shared" si="5"/>
        <v>192</v>
      </c>
      <c r="Y25" s="393">
        <v>0</v>
      </c>
      <c r="Z25" s="393">
        <v>0</v>
      </c>
      <c r="AA25" s="389">
        <f t="shared" si="6"/>
        <v>192</v>
      </c>
      <c r="AB25" s="393">
        <f t="shared" si="7"/>
        <v>611</v>
      </c>
      <c r="AE25" s="366">
        <f t="shared" si="27"/>
        <v>2026</v>
      </c>
      <c r="AF25" s="393">
        <f t="shared" si="8"/>
        <v>564</v>
      </c>
      <c r="AG25" s="368">
        <f t="shared" si="9"/>
        <v>239</v>
      </c>
      <c r="AH25" s="393">
        <f t="shared" si="43"/>
        <v>803</v>
      </c>
      <c r="AJ25" s="394">
        <f t="shared" si="28"/>
        <v>0</v>
      </c>
      <c r="AK25" s="394">
        <f t="shared" si="28"/>
        <v>0</v>
      </c>
      <c r="AL25" s="395">
        <f t="shared" si="10"/>
        <v>0</v>
      </c>
      <c r="AN25" s="396">
        <f t="shared" si="11"/>
        <v>803</v>
      </c>
      <c r="AQ25" s="366">
        <f t="shared" si="29"/>
        <v>2026</v>
      </c>
      <c r="AR25" s="393">
        <f t="shared" si="12"/>
        <v>564</v>
      </c>
      <c r="AS25" s="393">
        <f t="shared" si="13"/>
        <v>239</v>
      </c>
      <c r="AT25" s="397">
        <f t="shared" si="14"/>
        <v>3.5000000000000003E-2</v>
      </c>
      <c r="AU25" s="398">
        <f t="shared" si="47"/>
        <v>154</v>
      </c>
      <c r="AV25" s="387">
        <f t="shared" si="15"/>
        <v>0.46</v>
      </c>
      <c r="AW25" s="393">
        <f t="shared" si="16"/>
        <v>69</v>
      </c>
      <c r="AX25" s="397"/>
      <c r="AY25" s="399"/>
      <c r="AZ25" s="393">
        <f t="shared" si="30"/>
        <v>1026</v>
      </c>
      <c r="BA25" s="381"/>
      <c r="BB25" s="393">
        <v>0</v>
      </c>
      <c r="BC25" s="393">
        <v>0</v>
      </c>
      <c r="BD25" s="400">
        <f t="shared" si="31"/>
        <v>0</v>
      </c>
      <c r="BE25" s="393">
        <f t="shared" si="17"/>
        <v>1026</v>
      </c>
      <c r="BH25" s="366">
        <f t="shared" si="32"/>
        <v>2026</v>
      </c>
      <c r="BI25" s="393">
        <v>0</v>
      </c>
      <c r="BJ25" s="369">
        <f t="shared" si="18"/>
        <v>150</v>
      </c>
      <c r="BK25" s="401">
        <f t="shared" si="19"/>
        <v>8.3559999999999999</v>
      </c>
      <c r="BL25" s="393">
        <f t="shared" si="44"/>
        <v>1253</v>
      </c>
      <c r="BM25" s="401">
        <f t="shared" si="20"/>
        <v>0.20399999999999999</v>
      </c>
      <c r="BN25" s="398">
        <f t="shared" si="48"/>
        <v>896</v>
      </c>
      <c r="BO25" s="402"/>
      <c r="BP25" s="393">
        <f t="shared" si="21"/>
        <v>2149</v>
      </c>
      <c r="BR25" s="393">
        <f t="shared" si="49"/>
        <v>0</v>
      </c>
      <c r="BS25" s="393"/>
      <c r="BT25" s="393">
        <f t="shared" si="33"/>
        <v>2149</v>
      </c>
      <c r="BW25" s="366">
        <f t="shared" si="34"/>
        <v>2026</v>
      </c>
      <c r="BX25" s="393">
        <f t="shared" si="22"/>
        <v>564</v>
      </c>
      <c r="BY25" s="369">
        <f t="shared" si="35"/>
        <v>239</v>
      </c>
      <c r="BZ25" s="403">
        <f t="shared" si="36"/>
        <v>154</v>
      </c>
      <c r="CA25" s="393">
        <f t="shared" si="37"/>
        <v>957</v>
      </c>
      <c r="CC25" s="393">
        <f t="shared" si="38"/>
        <v>0</v>
      </c>
      <c r="CD25" s="393">
        <f t="shared" si="38"/>
        <v>0</v>
      </c>
      <c r="CE25" s="393">
        <f t="shared" si="39"/>
        <v>0</v>
      </c>
      <c r="CF25" s="393"/>
      <c r="CG25" s="393">
        <f t="shared" si="45"/>
        <v>957</v>
      </c>
      <c r="DB25" s="333"/>
    </row>
    <row r="26" spans="1:106">
      <c r="A26" s="185" t="s">
        <v>18</v>
      </c>
      <c r="C26" s="358">
        <f>+'Gas Input Table Summary'!$E$18</f>
        <v>0</v>
      </c>
      <c r="F26" s="368"/>
      <c r="G26" s="368"/>
      <c r="H26" s="368"/>
      <c r="J26" s="333">
        <f t="shared" si="23"/>
        <v>13</v>
      </c>
      <c r="L26" s="366">
        <f t="shared" si="24"/>
        <v>2027</v>
      </c>
      <c r="M26" s="386">
        <f t="shared" si="46"/>
        <v>150</v>
      </c>
      <c r="N26" s="387">
        <f t="shared" si="40"/>
        <v>3.8940000000000001</v>
      </c>
      <c r="O26" s="388">
        <f t="shared" si="0"/>
        <v>584</v>
      </c>
      <c r="P26" s="387">
        <f t="shared" si="1"/>
        <v>0</v>
      </c>
      <c r="Q26" s="389">
        <f t="shared" si="25"/>
        <v>0</v>
      </c>
      <c r="R26" s="390">
        <f t="shared" si="2"/>
        <v>584</v>
      </c>
      <c r="S26" s="372">
        <f t="shared" si="3"/>
        <v>1.5</v>
      </c>
      <c r="T26" s="389">
        <f t="shared" si="41"/>
        <v>160</v>
      </c>
      <c r="U26" s="391">
        <f t="shared" si="42"/>
        <v>240</v>
      </c>
      <c r="V26" s="386">
        <f t="shared" si="26"/>
        <v>824</v>
      </c>
      <c r="W26" s="392">
        <f t="shared" si="4"/>
        <v>2.036</v>
      </c>
      <c r="X26" s="393">
        <f t="shared" si="5"/>
        <v>199</v>
      </c>
      <c r="Y26" s="393">
        <v>0</v>
      </c>
      <c r="Z26" s="393">
        <v>0</v>
      </c>
      <c r="AA26" s="389">
        <f t="shared" si="6"/>
        <v>199</v>
      </c>
      <c r="AB26" s="393">
        <f t="shared" si="7"/>
        <v>625</v>
      </c>
      <c r="AE26" s="366">
        <f t="shared" si="27"/>
        <v>2027</v>
      </c>
      <c r="AF26" s="393">
        <f t="shared" si="8"/>
        <v>584</v>
      </c>
      <c r="AG26" s="368">
        <f t="shared" si="9"/>
        <v>240</v>
      </c>
      <c r="AH26" s="393">
        <f t="shared" si="43"/>
        <v>824</v>
      </c>
      <c r="AJ26" s="394">
        <f t="shared" si="28"/>
        <v>0</v>
      </c>
      <c r="AK26" s="394">
        <f t="shared" si="28"/>
        <v>0</v>
      </c>
      <c r="AL26" s="395">
        <f t="shared" si="10"/>
        <v>0</v>
      </c>
      <c r="AN26" s="396">
        <f t="shared" si="11"/>
        <v>824</v>
      </c>
      <c r="AQ26" s="366">
        <f t="shared" si="29"/>
        <v>2027</v>
      </c>
      <c r="AR26" s="393">
        <f t="shared" si="12"/>
        <v>584</v>
      </c>
      <c r="AS26" s="393">
        <f t="shared" si="13"/>
        <v>240</v>
      </c>
      <c r="AT26" s="397">
        <f t="shared" si="14"/>
        <v>3.5999999999999997E-2</v>
      </c>
      <c r="AU26" s="398">
        <f t="shared" si="47"/>
        <v>158</v>
      </c>
      <c r="AV26" s="387">
        <f t="shared" si="15"/>
        <v>0.47</v>
      </c>
      <c r="AW26" s="393">
        <f t="shared" si="16"/>
        <v>71</v>
      </c>
      <c r="AX26" s="397"/>
      <c r="AY26" s="399"/>
      <c r="AZ26" s="393">
        <f t="shared" si="30"/>
        <v>1053</v>
      </c>
      <c r="BA26" s="381"/>
      <c r="BB26" s="393">
        <v>0</v>
      </c>
      <c r="BC26" s="393">
        <v>0</v>
      </c>
      <c r="BD26" s="400">
        <f t="shared" si="31"/>
        <v>0</v>
      </c>
      <c r="BE26" s="393">
        <f t="shared" si="17"/>
        <v>1053</v>
      </c>
      <c r="BH26" s="366">
        <f t="shared" si="32"/>
        <v>2027</v>
      </c>
      <c r="BI26" s="393">
        <v>0</v>
      </c>
      <c r="BJ26" s="369">
        <f t="shared" si="18"/>
        <v>150</v>
      </c>
      <c r="BK26" s="401">
        <f t="shared" si="19"/>
        <v>8.6489999999999991</v>
      </c>
      <c r="BL26" s="393">
        <f t="shared" si="44"/>
        <v>1297</v>
      </c>
      <c r="BM26" s="401">
        <f t="shared" si="20"/>
        <v>0.21099999999999999</v>
      </c>
      <c r="BN26" s="398">
        <f t="shared" si="48"/>
        <v>927</v>
      </c>
      <c r="BO26" s="402"/>
      <c r="BP26" s="393">
        <f t="shared" si="21"/>
        <v>2224</v>
      </c>
      <c r="BR26" s="393">
        <f t="shared" si="49"/>
        <v>0</v>
      </c>
      <c r="BS26" s="393"/>
      <c r="BT26" s="393">
        <f t="shared" si="33"/>
        <v>2224</v>
      </c>
      <c r="BW26" s="366">
        <f t="shared" si="34"/>
        <v>2027</v>
      </c>
      <c r="BX26" s="393">
        <f t="shared" si="22"/>
        <v>584</v>
      </c>
      <c r="BY26" s="369">
        <f t="shared" si="35"/>
        <v>240</v>
      </c>
      <c r="BZ26" s="403">
        <f t="shared" si="36"/>
        <v>158</v>
      </c>
      <c r="CA26" s="393">
        <f t="shared" si="37"/>
        <v>982</v>
      </c>
      <c r="CC26" s="393">
        <f t="shared" si="38"/>
        <v>0</v>
      </c>
      <c r="CD26" s="393">
        <f t="shared" si="38"/>
        <v>0</v>
      </c>
      <c r="CE26" s="393">
        <f t="shared" si="39"/>
        <v>0</v>
      </c>
      <c r="CF26" s="393"/>
      <c r="CG26" s="393">
        <f t="shared" si="45"/>
        <v>982</v>
      </c>
      <c r="DB26" s="333"/>
    </row>
    <row r="27" spans="1:106">
      <c r="A27" s="185"/>
      <c r="C27" s="358"/>
      <c r="E27" s="185" t="s">
        <v>70</v>
      </c>
      <c r="F27" s="369">
        <f>+'Database Inputs'!H17</f>
        <v>732</v>
      </c>
      <c r="G27" s="369"/>
      <c r="H27" s="369"/>
      <c r="J27" s="333">
        <f t="shared" si="23"/>
        <v>14</v>
      </c>
      <c r="L27" s="366">
        <f t="shared" si="24"/>
        <v>2028</v>
      </c>
      <c r="M27" s="386">
        <f t="shared" si="46"/>
        <v>150</v>
      </c>
      <c r="N27" s="387">
        <f t="shared" si="40"/>
        <v>4.03</v>
      </c>
      <c r="O27" s="388">
        <f t="shared" si="0"/>
        <v>605</v>
      </c>
      <c r="P27" s="387">
        <f t="shared" si="1"/>
        <v>0</v>
      </c>
      <c r="Q27" s="389">
        <f t="shared" si="25"/>
        <v>0</v>
      </c>
      <c r="R27" s="390">
        <f t="shared" si="2"/>
        <v>605</v>
      </c>
      <c r="S27" s="372">
        <f t="shared" si="3"/>
        <v>1.5</v>
      </c>
      <c r="T27" s="389">
        <f t="shared" si="41"/>
        <v>162</v>
      </c>
      <c r="U27" s="391">
        <f t="shared" si="42"/>
        <v>243</v>
      </c>
      <c r="V27" s="386">
        <f t="shared" si="26"/>
        <v>848</v>
      </c>
      <c r="W27" s="392">
        <f t="shared" si="4"/>
        <v>2.1080000000000001</v>
      </c>
      <c r="X27" s="393">
        <f t="shared" si="5"/>
        <v>206</v>
      </c>
      <c r="Y27" s="393">
        <v>0</v>
      </c>
      <c r="Z27" s="393">
        <v>0</v>
      </c>
      <c r="AA27" s="389">
        <f t="shared" si="6"/>
        <v>206</v>
      </c>
      <c r="AB27" s="393">
        <f t="shared" si="7"/>
        <v>642</v>
      </c>
      <c r="AE27" s="366">
        <f t="shared" si="27"/>
        <v>2028</v>
      </c>
      <c r="AF27" s="393">
        <f t="shared" si="8"/>
        <v>605</v>
      </c>
      <c r="AG27" s="368">
        <f t="shared" si="9"/>
        <v>243</v>
      </c>
      <c r="AH27" s="393">
        <f t="shared" si="43"/>
        <v>848</v>
      </c>
      <c r="AJ27" s="394">
        <f t="shared" si="28"/>
        <v>0</v>
      </c>
      <c r="AK27" s="394">
        <f t="shared" si="28"/>
        <v>0</v>
      </c>
      <c r="AL27" s="395">
        <f t="shared" si="10"/>
        <v>0</v>
      </c>
      <c r="AN27" s="396">
        <f t="shared" si="11"/>
        <v>848</v>
      </c>
      <c r="AQ27" s="366">
        <f t="shared" si="29"/>
        <v>2028</v>
      </c>
      <c r="AR27" s="393">
        <f t="shared" si="12"/>
        <v>605</v>
      </c>
      <c r="AS27" s="393">
        <f t="shared" si="13"/>
        <v>243</v>
      </c>
      <c r="AT27" s="397">
        <f t="shared" si="14"/>
        <v>3.6999999999999998E-2</v>
      </c>
      <c r="AU27" s="398">
        <f t="shared" si="47"/>
        <v>163</v>
      </c>
      <c r="AV27" s="387">
        <f t="shared" si="15"/>
        <v>0.48099999999999998</v>
      </c>
      <c r="AW27" s="393">
        <f t="shared" si="16"/>
        <v>72</v>
      </c>
      <c r="AX27" s="397"/>
      <c r="AY27" s="399"/>
      <c r="AZ27" s="393">
        <f t="shared" si="30"/>
        <v>1083</v>
      </c>
      <c r="BA27" s="381"/>
      <c r="BB27" s="393">
        <v>0</v>
      </c>
      <c r="BC27" s="393">
        <v>0</v>
      </c>
      <c r="BD27" s="400">
        <f t="shared" si="31"/>
        <v>0</v>
      </c>
      <c r="BE27" s="393">
        <f t="shared" si="17"/>
        <v>1083</v>
      </c>
      <c r="BH27" s="366">
        <f t="shared" si="32"/>
        <v>2028</v>
      </c>
      <c r="BI27" s="393">
        <v>0</v>
      </c>
      <c r="BJ27" s="369">
        <f t="shared" si="18"/>
        <v>150</v>
      </c>
      <c r="BK27" s="401">
        <f t="shared" si="19"/>
        <v>8.9510000000000005</v>
      </c>
      <c r="BL27" s="393">
        <f t="shared" si="44"/>
        <v>1343</v>
      </c>
      <c r="BM27" s="401">
        <f t="shared" si="20"/>
        <v>0.219</v>
      </c>
      <c r="BN27" s="398">
        <f t="shared" si="48"/>
        <v>962</v>
      </c>
      <c r="BO27" s="402"/>
      <c r="BP27" s="393">
        <f t="shared" si="21"/>
        <v>2305</v>
      </c>
      <c r="BR27" s="393">
        <f t="shared" si="49"/>
        <v>0</v>
      </c>
      <c r="BS27" s="393"/>
      <c r="BT27" s="393">
        <f t="shared" si="33"/>
        <v>2305</v>
      </c>
      <c r="BW27" s="366">
        <f t="shared" si="34"/>
        <v>2028</v>
      </c>
      <c r="BX27" s="393">
        <f t="shared" si="22"/>
        <v>605</v>
      </c>
      <c r="BY27" s="369">
        <f t="shared" si="35"/>
        <v>243</v>
      </c>
      <c r="BZ27" s="403">
        <f t="shared" si="36"/>
        <v>163</v>
      </c>
      <c r="CA27" s="393">
        <f t="shared" si="37"/>
        <v>1011</v>
      </c>
      <c r="CC27" s="393">
        <f t="shared" si="38"/>
        <v>0</v>
      </c>
      <c r="CD27" s="393">
        <f t="shared" si="38"/>
        <v>0</v>
      </c>
      <c r="CE27" s="393">
        <f t="shared" si="39"/>
        <v>0</v>
      </c>
      <c r="CF27" s="393"/>
      <c r="CG27" s="393">
        <f t="shared" si="45"/>
        <v>1011</v>
      </c>
      <c r="DB27" s="333"/>
    </row>
    <row r="28" spans="1:106">
      <c r="A28" s="185" t="s">
        <v>71</v>
      </c>
      <c r="C28" s="365">
        <f>+'Gas Input Table Summary'!$E$19</f>
        <v>2.18E-2</v>
      </c>
      <c r="E28" s="185" t="s">
        <v>72</v>
      </c>
      <c r="F28" s="369">
        <v>0</v>
      </c>
      <c r="G28" s="369"/>
      <c r="H28" s="369"/>
      <c r="J28" s="333">
        <f t="shared" si="23"/>
        <v>15</v>
      </c>
      <c r="L28" s="366">
        <f t="shared" si="24"/>
        <v>2029</v>
      </c>
      <c r="M28" s="386">
        <f t="shared" si="46"/>
        <v>150</v>
      </c>
      <c r="N28" s="387">
        <f t="shared" si="40"/>
        <v>4.1710000000000003</v>
      </c>
      <c r="O28" s="388">
        <f t="shared" si="0"/>
        <v>626</v>
      </c>
      <c r="P28" s="387">
        <f t="shared" si="1"/>
        <v>0</v>
      </c>
      <c r="Q28" s="389">
        <f t="shared" si="25"/>
        <v>0</v>
      </c>
      <c r="R28" s="390">
        <f t="shared" si="2"/>
        <v>626</v>
      </c>
      <c r="S28" s="372">
        <f t="shared" si="3"/>
        <v>1.5</v>
      </c>
      <c r="T28" s="389">
        <f t="shared" si="41"/>
        <v>163</v>
      </c>
      <c r="U28" s="391">
        <f t="shared" si="42"/>
        <v>245</v>
      </c>
      <c r="V28" s="386">
        <f t="shared" si="26"/>
        <v>871</v>
      </c>
      <c r="W28" s="392">
        <f t="shared" si="4"/>
        <v>2.181</v>
      </c>
      <c r="X28" s="393">
        <f t="shared" si="5"/>
        <v>213</v>
      </c>
      <c r="Y28" s="393">
        <v>0</v>
      </c>
      <c r="Z28" s="393">
        <v>0</v>
      </c>
      <c r="AA28" s="389">
        <f t="shared" si="6"/>
        <v>213</v>
      </c>
      <c r="AB28" s="393">
        <f t="shared" si="7"/>
        <v>658</v>
      </c>
      <c r="AE28" s="366">
        <f t="shared" si="27"/>
        <v>2029</v>
      </c>
      <c r="AF28" s="393">
        <f t="shared" si="8"/>
        <v>626</v>
      </c>
      <c r="AG28" s="368">
        <f t="shared" si="9"/>
        <v>245</v>
      </c>
      <c r="AH28" s="393">
        <f t="shared" si="43"/>
        <v>871</v>
      </c>
      <c r="AJ28" s="394">
        <f t="shared" si="28"/>
        <v>0</v>
      </c>
      <c r="AK28" s="394">
        <f t="shared" si="28"/>
        <v>0</v>
      </c>
      <c r="AL28" s="395">
        <f t="shared" si="10"/>
        <v>0</v>
      </c>
      <c r="AN28" s="396">
        <f t="shared" si="11"/>
        <v>871</v>
      </c>
      <c r="AQ28" s="366">
        <f t="shared" si="29"/>
        <v>2029</v>
      </c>
      <c r="AR28" s="393">
        <f t="shared" si="12"/>
        <v>626</v>
      </c>
      <c r="AS28" s="393">
        <f t="shared" si="13"/>
        <v>245</v>
      </c>
      <c r="AT28" s="397">
        <f t="shared" si="14"/>
        <v>3.7999999999999999E-2</v>
      </c>
      <c r="AU28" s="398">
        <f t="shared" si="47"/>
        <v>167</v>
      </c>
      <c r="AV28" s="387">
        <f t="shared" si="15"/>
        <v>0.49199999999999999</v>
      </c>
      <c r="AW28" s="393">
        <f t="shared" si="16"/>
        <v>74</v>
      </c>
      <c r="AX28" s="397"/>
      <c r="AY28" s="399"/>
      <c r="AZ28" s="393">
        <f t="shared" si="30"/>
        <v>1112</v>
      </c>
      <c r="BA28" s="381"/>
      <c r="BB28" s="393">
        <v>0</v>
      </c>
      <c r="BC28" s="393">
        <v>0</v>
      </c>
      <c r="BD28" s="400">
        <f t="shared" si="31"/>
        <v>0</v>
      </c>
      <c r="BE28" s="393">
        <f t="shared" si="17"/>
        <v>1112</v>
      </c>
      <c r="BH28" s="366">
        <f t="shared" si="32"/>
        <v>2029</v>
      </c>
      <c r="BI28" s="393">
        <v>0</v>
      </c>
      <c r="BJ28" s="369">
        <f t="shared" si="18"/>
        <v>150</v>
      </c>
      <c r="BK28" s="401">
        <f t="shared" si="19"/>
        <v>9.2650000000000006</v>
      </c>
      <c r="BL28" s="393">
        <f t="shared" si="44"/>
        <v>1390</v>
      </c>
      <c r="BM28" s="401">
        <f t="shared" si="20"/>
        <v>0.22600000000000001</v>
      </c>
      <c r="BN28" s="398">
        <f t="shared" si="48"/>
        <v>993</v>
      </c>
      <c r="BO28" s="402"/>
      <c r="BP28" s="393">
        <f t="shared" si="21"/>
        <v>2383</v>
      </c>
      <c r="BR28" s="393">
        <f t="shared" si="49"/>
        <v>0</v>
      </c>
      <c r="BS28" s="393"/>
      <c r="BT28" s="393">
        <f t="shared" si="33"/>
        <v>2383</v>
      </c>
      <c r="BW28" s="366">
        <f t="shared" si="34"/>
        <v>2029</v>
      </c>
      <c r="BX28" s="393">
        <f t="shared" si="22"/>
        <v>626</v>
      </c>
      <c r="BY28" s="369">
        <f t="shared" si="35"/>
        <v>245</v>
      </c>
      <c r="BZ28" s="403">
        <f t="shared" si="36"/>
        <v>167</v>
      </c>
      <c r="CA28" s="393">
        <f t="shared" si="37"/>
        <v>1038</v>
      </c>
      <c r="CC28" s="393">
        <f t="shared" si="38"/>
        <v>0</v>
      </c>
      <c r="CD28" s="393">
        <f t="shared" si="38"/>
        <v>0</v>
      </c>
      <c r="CE28" s="393">
        <f t="shared" si="39"/>
        <v>0</v>
      </c>
      <c r="CF28" s="393"/>
      <c r="CG28" s="393">
        <f t="shared" si="45"/>
        <v>1038</v>
      </c>
      <c r="DB28" s="333"/>
    </row>
    <row r="29" spans="1:106">
      <c r="A29" s="185" t="s">
        <v>47</v>
      </c>
      <c r="C29" s="358">
        <f>+'Gas Input Table Summary'!$E$20</f>
        <v>3.5000000000000003E-2</v>
      </c>
      <c r="E29" s="185"/>
      <c r="F29" s="369"/>
      <c r="G29" s="369"/>
      <c r="H29" s="369"/>
      <c r="J29" s="333">
        <f t="shared" si="23"/>
        <v>16</v>
      </c>
      <c r="L29" s="366">
        <f t="shared" si="24"/>
        <v>2030</v>
      </c>
      <c r="M29" s="386">
        <f t="shared" si="46"/>
        <v>150</v>
      </c>
      <c r="N29" s="387">
        <f t="shared" si="40"/>
        <v>4.3170000000000002</v>
      </c>
      <c r="O29" s="388">
        <f t="shared" si="0"/>
        <v>648</v>
      </c>
      <c r="P29" s="387">
        <f t="shared" si="1"/>
        <v>0</v>
      </c>
      <c r="Q29" s="389">
        <f t="shared" si="25"/>
        <v>0</v>
      </c>
      <c r="R29" s="390">
        <f t="shared" si="2"/>
        <v>648</v>
      </c>
      <c r="S29" s="372">
        <f t="shared" si="3"/>
        <v>1.5</v>
      </c>
      <c r="T29" s="389">
        <f t="shared" si="41"/>
        <v>165</v>
      </c>
      <c r="U29" s="391">
        <f t="shared" si="42"/>
        <v>248</v>
      </c>
      <c r="V29" s="386">
        <f t="shared" si="26"/>
        <v>896</v>
      </c>
      <c r="W29" s="392">
        <f t="shared" si="4"/>
        <v>2.258</v>
      </c>
      <c r="X29" s="393">
        <f t="shared" si="5"/>
        <v>220</v>
      </c>
      <c r="Y29" s="409">
        <v>0</v>
      </c>
      <c r="Z29" s="409">
        <v>0</v>
      </c>
      <c r="AA29" s="410">
        <f t="shared" si="6"/>
        <v>220</v>
      </c>
      <c r="AB29" s="409">
        <f t="shared" si="7"/>
        <v>676</v>
      </c>
      <c r="AE29" s="366">
        <f t="shared" si="27"/>
        <v>2030</v>
      </c>
      <c r="AF29" s="393">
        <f t="shared" si="8"/>
        <v>648</v>
      </c>
      <c r="AG29" s="368">
        <f t="shared" si="9"/>
        <v>248</v>
      </c>
      <c r="AH29" s="393">
        <f t="shared" si="43"/>
        <v>896</v>
      </c>
      <c r="AJ29" s="394">
        <f t="shared" si="28"/>
        <v>0</v>
      </c>
      <c r="AK29" s="394">
        <f t="shared" si="28"/>
        <v>0</v>
      </c>
      <c r="AL29" s="395">
        <f t="shared" si="10"/>
        <v>0</v>
      </c>
      <c r="AN29" s="396">
        <f t="shared" si="11"/>
        <v>896</v>
      </c>
      <c r="AQ29" s="366">
        <f t="shared" si="29"/>
        <v>2030</v>
      </c>
      <c r="AR29" s="409">
        <f t="shared" si="12"/>
        <v>648</v>
      </c>
      <c r="AS29" s="393">
        <f t="shared" si="13"/>
        <v>248</v>
      </c>
      <c r="AT29" s="397">
        <f t="shared" si="14"/>
        <v>0.04</v>
      </c>
      <c r="AU29" s="398">
        <f t="shared" si="47"/>
        <v>176</v>
      </c>
      <c r="AV29" s="387">
        <f t="shared" si="15"/>
        <v>0.504</v>
      </c>
      <c r="AW29" s="393">
        <f t="shared" si="16"/>
        <v>76</v>
      </c>
      <c r="AX29" s="397"/>
      <c r="AY29" s="399"/>
      <c r="AZ29" s="409">
        <f t="shared" si="30"/>
        <v>1148</v>
      </c>
      <c r="BA29" s="381"/>
      <c r="BB29" s="409">
        <v>0</v>
      </c>
      <c r="BC29" s="393">
        <v>0</v>
      </c>
      <c r="BD29" s="400">
        <f t="shared" si="31"/>
        <v>0</v>
      </c>
      <c r="BE29" s="409">
        <f t="shared" si="17"/>
        <v>1148</v>
      </c>
      <c r="BH29" s="366">
        <f t="shared" si="32"/>
        <v>2030</v>
      </c>
      <c r="BI29" s="393">
        <v>0</v>
      </c>
      <c r="BJ29" s="369">
        <f t="shared" si="18"/>
        <v>150</v>
      </c>
      <c r="BK29" s="401">
        <f t="shared" si="19"/>
        <v>9.5890000000000004</v>
      </c>
      <c r="BL29" s="393">
        <f t="shared" si="44"/>
        <v>1438</v>
      </c>
      <c r="BM29" s="401">
        <f t="shared" si="20"/>
        <v>0.23400000000000001</v>
      </c>
      <c r="BN29" s="398">
        <f t="shared" si="48"/>
        <v>1028</v>
      </c>
      <c r="BO29" s="402"/>
      <c r="BP29" s="393">
        <f t="shared" si="21"/>
        <v>2466</v>
      </c>
      <c r="BR29" s="393">
        <f t="shared" si="49"/>
        <v>0</v>
      </c>
      <c r="BS29" s="393"/>
      <c r="BT29" s="393">
        <f t="shared" si="33"/>
        <v>2466</v>
      </c>
      <c r="BW29" s="366">
        <f t="shared" si="34"/>
        <v>2030</v>
      </c>
      <c r="BX29" s="393">
        <f t="shared" si="22"/>
        <v>648</v>
      </c>
      <c r="BY29" s="369">
        <f t="shared" si="35"/>
        <v>248</v>
      </c>
      <c r="BZ29" s="403">
        <f t="shared" si="36"/>
        <v>176</v>
      </c>
      <c r="CA29" s="393">
        <f t="shared" si="37"/>
        <v>1072</v>
      </c>
      <c r="CC29" s="393">
        <f t="shared" si="38"/>
        <v>0</v>
      </c>
      <c r="CD29" s="393">
        <f t="shared" si="38"/>
        <v>0</v>
      </c>
      <c r="CE29" s="393">
        <f t="shared" si="39"/>
        <v>0</v>
      </c>
      <c r="CF29" s="393"/>
      <c r="CG29" s="393">
        <f t="shared" si="45"/>
        <v>1072</v>
      </c>
      <c r="DB29" s="333"/>
    </row>
    <row r="30" spans="1:106">
      <c r="E30" s="185" t="s">
        <v>73</v>
      </c>
      <c r="F30" s="196">
        <f>+'Total Program Inputs'!C18</f>
        <v>6</v>
      </c>
      <c r="G30" s="196"/>
      <c r="H30" s="196"/>
      <c r="J30" s="333">
        <f t="shared" si="23"/>
        <v>17</v>
      </c>
      <c r="L30" s="366">
        <f t="shared" si="24"/>
        <v>2031</v>
      </c>
      <c r="M30" s="386">
        <f t="shared" si="46"/>
        <v>150</v>
      </c>
      <c r="N30" s="387">
        <f t="shared" si="40"/>
        <v>4.468</v>
      </c>
      <c r="O30" s="388">
        <f t="shared" si="0"/>
        <v>670</v>
      </c>
      <c r="P30" s="387">
        <f t="shared" si="1"/>
        <v>0</v>
      </c>
      <c r="Q30" s="389">
        <f t="shared" si="25"/>
        <v>0</v>
      </c>
      <c r="R30" s="390">
        <f t="shared" si="2"/>
        <v>670</v>
      </c>
      <c r="S30" s="372">
        <f t="shared" si="3"/>
        <v>1.5</v>
      </c>
      <c r="T30" s="389">
        <f t="shared" si="41"/>
        <v>167</v>
      </c>
      <c r="U30" s="391">
        <f t="shared" si="42"/>
        <v>251</v>
      </c>
      <c r="V30" s="386">
        <f t="shared" si="26"/>
        <v>921</v>
      </c>
      <c r="W30" s="392">
        <f t="shared" si="4"/>
        <v>2.3370000000000002</v>
      </c>
      <c r="X30" s="393">
        <f t="shared" si="5"/>
        <v>228</v>
      </c>
      <c r="Y30" s="409">
        <v>0</v>
      </c>
      <c r="Z30" s="409">
        <v>0</v>
      </c>
      <c r="AA30" s="410">
        <f t="shared" si="6"/>
        <v>228</v>
      </c>
      <c r="AB30" s="409">
        <f t="shared" si="7"/>
        <v>693</v>
      </c>
      <c r="AE30" s="366">
        <f t="shared" si="27"/>
        <v>2031</v>
      </c>
      <c r="AF30" s="393">
        <f t="shared" si="8"/>
        <v>670</v>
      </c>
      <c r="AG30" s="368">
        <f t="shared" si="9"/>
        <v>251</v>
      </c>
      <c r="AH30" s="393">
        <f t="shared" si="43"/>
        <v>921</v>
      </c>
      <c r="AJ30" s="394">
        <f t="shared" si="28"/>
        <v>0</v>
      </c>
      <c r="AK30" s="394">
        <f t="shared" si="28"/>
        <v>0</v>
      </c>
      <c r="AL30" s="395">
        <f t="shared" si="10"/>
        <v>0</v>
      </c>
      <c r="AN30" s="396">
        <f t="shared" si="11"/>
        <v>921</v>
      </c>
      <c r="AQ30" s="366">
        <f t="shared" si="29"/>
        <v>2031</v>
      </c>
      <c r="AR30" s="409">
        <f t="shared" si="12"/>
        <v>670</v>
      </c>
      <c r="AS30" s="393">
        <f t="shared" si="13"/>
        <v>251</v>
      </c>
      <c r="AT30" s="397">
        <f t="shared" si="14"/>
        <v>4.1000000000000002E-2</v>
      </c>
      <c r="AU30" s="398">
        <f t="shared" si="47"/>
        <v>180</v>
      </c>
      <c r="AV30" s="387">
        <f t="shared" si="15"/>
        <v>0.51500000000000001</v>
      </c>
      <c r="AW30" s="393">
        <f t="shared" si="16"/>
        <v>77</v>
      </c>
      <c r="AX30" s="397"/>
      <c r="AY30" s="399"/>
      <c r="AZ30" s="409">
        <f t="shared" si="30"/>
        <v>1178</v>
      </c>
      <c r="BA30" s="381"/>
      <c r="BB30" s="409">
        <v>0</v>
      </c>
      <c r="BC30" s="393">
        <v>0</v>
      </c>
      <c r="BD30" s="400">
        <f t="shared" si="31"/>
        <v>0</v>
      </c>
      <c r="BE30" s="409">
        <f t="shared" si="17"/>
        <v>1178</v>
      </c>
      <c r="BH30" s="366">
        <f t="shared" si="32"/>
        <v>2031</v>
      </c>
      <c r="BI30" s="393">
        <v>0</v>
      </c>
      <c r="BJ30" s="369">
        <f t="shared" si="18"/>
        <v>150</v>
      </c>
      <c r="BK30" s="401">
        <f t="shared" si="19"/>
        <v>9.9250000000000007</v>
      </c>
      <c r="BL30" s="393">
        <f t="shared" si="44"/>
        <v>1489</v>
      </c>
      <c r="BM30" s="401">
        <f t="shared" si="20"/>
        <v>0.24199999999999999</v>
      </c>
      <c r="BN30" s="398">
        <f t="shared" si="48"/>
        <v>1063</v>
      </c>
      <c r="BO30" s="402"/>
      <c r="BP30" s="393">
        <f t="shared" si="21"/>
        <v>2552</v>
      </c>
      <c r="BR30" s="393">
        <f t="shared" si="49"/>
        <v>0</v>
      </c>
      <c r="BS30" s="393"/>
      <c r="BT30" s="393">
        <f t="shared" si="33"/>
        <v>2552</v>
      </c>
      <c r="BW30" s="366">
        <f t="shared" si="34"/>
        <v>2031</v>
      </c>
      <c r="BX30" s="393">
        <f t="shared" si="22"/>
        <v>670</v>
      </c>
      <c r="BY30" s="369">
        <f t="shared" si="35"/>
        <v>251</v>
      </c>
      <c r="BZ30" s="403">
        <f t="shared" si="36"/>
        <v>180</v>
      </c>
      <c r="CA30" s="393">
        <f t="shared" si="37"/>
        <v>1101</v>
      </c>
      <c r="CC30" s="393">
        <f t="shared" si="38"/>
        <v>0</v>
      </c>
      <c r="CD30" s="393">
        <f t="shared" si="38"/>
        <v>0</v>
      </c>
      <c r="CE30" s="393">
        <f t="shared" si="39"/>
        <v>0</v>
      </c>
      <c r="CF30" s="393"/>
      <c r="CG30" s="393">
        <f t="shared" si="45"/>
        <v>1101</v>
      </c>
      <c r="DB30" s="333">
        <f>$J18</f>
        <v>5</v>
      </c>
    </row>
    <row r="31" spans="1:106">
      <c r="A31" s="187" t="s">
        <v>74</v>
      </c>
      <c r="C31" s="361">
        <f>+'Gas Input Table Summary'!$E$21</f>
        <v>5.0999999999999997E-2</v>
      </c>
      <c r="F31" s="368"/>
      <c r="G31" s="368"/>
      <c r="H31" s="368"/>
      <c r="J31" s="333">
        <f t="shared" si="23"/>
        <v>18</v>
      </c>
      <c r="L31" s="366">
        <f t="shared" si="24"/>
        <v>2032</v>
      </c>
      <c r="M31" s="386">
        <f t="shared" si="46"/>
        <v>150</v>
      </c>
      <c r="N31" s="387">
        <f t="shared" si="40"/>
        <v>4.625</v>
      </c>
      <c r="O31" s="388">
        <f t="shared" si="0"/>
        <v>694</v>
      </c>
      <c r="P31" s="387">
        <f t="shared" si="1"/>
        <v>0</v>
      </c>
      <c r="Q31" s="389">
        <f t="shared" si="25"/>
        <v>0</v>
      </c>
      <c r="R31" s="390">
        <f t="shared" si="2"/>
        <v>694</v>
      </c>
      <c r="S31" s="372">
        <f t="shared" si="3"/>
        <v>1.5</v>
      </c>
      <c r="T31" s="389">
        <f t="shared" si="41"/>
        <v>168</v>
      </c>
      <c r="U31" s="391">
        <f t="shared" si="42"/>
        <v>252</v>
      </c>
      <c r="V31" s="386">
        <f t="shared" si="26"/>
        <v>946</v>
      </c>
      <c r="W31" s="392">
        <f t="shared" si="4"/>
        <v>2.4180000000000001</v>
      </c>
      <c r="X31" s="393">
        <f t="shared" si="5"/>
        <v>236</v>
      </c>
      <c r="Y31" s="409">
        <v>0</v>
      </c>
      <c r="Z31" s="409">
        <v>0</v>
      </c>
      <c r="AA31" s="410">
        <f t="shared" si="6"/>
        <v>236</v>
      </c>
      <c r="AB31" s="409">
        <f t="shared" si="7"/>
        <v>710</v>
      </c>
      <c r="AE31" s="366">
        <f t="shared" si="27"/>
        <v>2032</v>
      </c>
      <c r="AF31" s="393">
        <f t="shared" si="8"/>
        <v>694</v>
      </c>
      <c r="AG31" s="368">
        <f t="shared" si="9"/>
        <v>252</v>
      </c>
      <c r="AH31" s="393">
        <f t="shared" si="43"/>
        <v>946</v>
      </c>
      <c r="AJ31" s="394">
        <f t="shared" si="28"/>
        <v>0</v>
      </c>
      <c r="AK31" s="394">
        <f t="shared" si="28"/>
        <v>0</v>
      </c>
      <c r="AL31" s="395">
        <f t="shared" si="10"/>
        <v>0</v>
      </c>
      <c r="AN31" s="396">
        <f t="shared" si="11"/>
        <v>946</v>
      </c>
      <c r="AQ31" s="366">
        <f t="shared" si="29"/>
        <v>2032</v>
      </c>
      <c r="AR31" s="409">
        <f t="shared" si="12"/>
        <v>694</v>
      </c>
      <c r="AS31" s="393">
        <f t="shared" si="13"/>
        <v>252</v>
      </c>
      <c r="AT31" s="397">
        <f t="shared" si="14"/>
        <v>4.2999999999999997E-2</v>
      </c>
      <c r="AU31" s="398">
        <f t="shared" si="47"/>
        <v>189</v>
      </c>
      <c r="AV31" s="387">
        <f t="shared" si="15"/>
        <v>0.52700000000000002</v>
      </c>
      <c r="AW31" s="393">
        <f t="shared" si="16"/>
        <v>79</v>
      </c>
      <c r="AX31" s="397"/>
      <c r="AY31" s="399"/>
      <c r="AZ31" s="409">
        <f t="shared" si="30"/>
        <v>1214</v>
      </c>
      <c r="BA31" s="381"/>
      <c r="BB31" s="409">
        <v>0</v>
      </c>
      <c r="BC31" s="393">
        <v>0</v>
      </c>
      <c r="BD31" s="400">
        <f t="shared" si="31"/>
        <v>0</v>
      </c>
      <c r="BE31" s="409">
        <f t="shared" si="17"/>
        <v>1214</v>
      </c>
      <c r="BH31" s="366">
        <f t="shared" si="32"/>
        <v>2032</v>
      </c>
      <c r="BI31" s="393">
        <v>0</v>
      </c>
      <c r="BJ31" s="369">
        <f t="shared" si="18"/>
        <v>150</v>
      </c>
      <c r="BK31" s="401">
        <f t="shared" si="19"/>
        <v>10.272</v>
      </c>
      <c r="BL31" s="393">
        <f t="shared" si="44"/>
        <v>1541</v>
      </c>
      <c r="BM31" s="401">
        <f t="shared" si="20"/>
        <v>0.251</v>
      </c>
      <c r="BN31" s="398">
        <f t="shared" si="48"/>
        <v>1102</v>
      </c>
      <c r="BO31" s="402"/>
      <c r="BP31" s="393">
        <f t="shared" si="21"/>
        <v>2643</v>
      </c>
      <c r="BR31" s="393">
        <f t="shared" si="49"/>
        <v>0</v>
      </c>
      <c r="BS31" s="393"/>
      <c r="BT31" s="393">
        <f t="shared" si="33"/>
        <v>2643</v>
      </c>
      <c r="BW31" s="366">
        <f t="shared" si="34"/>
        <v>2032</v>
      </c>
      <c r="BX31" s="393">
        <f t="shared" si="22"/>
        <v>694</v>
      </c>
      <c r="BY31" s="369">
        <f t="shared" si="35"/>
        <v>252</v>
      </c>
      <c r="BZ31" s="403">
        <f t="shared" si="36"/>
        <v>189</v>
      </c>
      <c r="CA31" s="393">
        <f t="shared" si="37"/>
        <v>1135</v>
      </c>
      <c r="CC31" s="393">
        <f t="shared" si="38"/>
        <v>0</v>
      </c>
      <c r="CD31" s="393">
        <f t="shared" si="38"/>
        <v>0</v>
      </c>
      <c r="CE31" s="393">
        <f t="shared" si="39"/>
        <v>0</v>
      </c>
      <c r="CF31" s="393"/>
      <c r="CG31" s="393">
        <f t="shared" si="45"/>
        <v>1135</v>
      </c>
      <c r="DB31" s="333">
        <f>$J19</f>
        <v>6</v>
      </c>
    </row>
    <row r="32" spans="1:106">
      <c r="E32" s="193" t="s">
        <v>103</v>
      </c>
      <c r="F32" s="411">
        <f>+'Total Program Inputs'!E18</f>
        <v>150</v>
      </c>
      <c r="G32" s="408"/>
      <c r="H32" s="408"/>
      <c r="J32" s="333">
        <f t="shared" si="23"/>
        <v>19</v>
      </c>
      <c r="L32" s="366">
        <f t="shared" si="24"/>
        <v>2033</v>
      </c>
      <c r="M32" s="386">
        <f t="shared" si="46"/>
        <v>150</v>
      </c>
      <c r="N32" s="387">
        <f t="shared" si="40"/>
        <v>4.7869999999999999</v>
      </c>
      <c r="O32" s="388">
        <f t="shared" si="0"/>
        <v>718</v>
      </c>
      <c r="P32" s="387">
        <f t="shared" si="1"/>
        <v>0</v>
      </c>
      <c r="Q32" s="389">
        <f t="shared" si="25"/>
        <v>0</v>
      </c>
      <c r="R32" s="390">
        <f t="shared" si="2"/>
        <v>718</v>
      </c>
      <c r="S32" s="372">
        <f t="shared" si="3"/>
        <v>1.5</v>
      </c>
      <c r="T32" s="389">
        <f t="shared" si="41"/>
        <v>170</v>
      </c>
      <c r="U32" s="391">
        <f t="shared" si="42"/>
        <v>255</v>
      </c>
      <c r="V32" s="386">
        <f t="shared" si="26"/>
        <v>973</v>
      </c>
      <c r="W32" s="392">
        <f t="shared" si="4"/>
        <v>2.5030000000000001</v>
      </c>
      <c r="X32" s="393">
        <f t="shared" si="5"/>
        <v>244</v>
      </c>
      <c r="Y32" s="409">
        <v>0</v>
      </c>
      <c r="Z32" s="409">
        <v>0</v>
      </c>
      <c r="AA32" s="410">
        <f t="shared" si="6"/>
        <v>244</v>
      </c>
      <c r="AB32" s="409">
        <f t="shared" si="7"/>
        <v>729</v>
      </c>
      <c r="AE32" s="366">
        <f t="shared" si="27"/>
        <v>2033</v>
      </c>
      <c r="AF32" s="393">
        <f t="shared" si="8"/>
        <v>718</v>
      </c>
      <c r="AG32" s="368">
        <f t="shared" si="9"/>
        <v>255</v>
      </c>
      <c r="AH32" s="393">
        <f t="shared" si="43"/>
        <v>973</v>
      </c>
      <c r="AJ32" s="394">
        <f t="shared" si="28"/>
        <v>0</v>
      </c>
      <c r="AK32" s="394">
        <f t="shared" si="28"/>
        <v>0</v>
      </c>
      <c r="AL32" s="395">
        <f t="shared" si="10"/>
        <v>0</v>
      </c>
      <c r="AN32" s="396">
        <f t="shared" si="11"/>
        <v>973</v>
      </c>
      <c r="AQ32" s="366">
        <f t="shared" si="29"/>
        <v>2033</v>
      </c>
      <c r="AR32" s="409">
        <f t="shared" si="12"/>
        <v>718</v>
      </c>
      <c r="AS32" s="393">
        <f t="shared" si="13"/>
        <v>255</v>
      </c>
      <c r="AT32" s="397">
        <f t="shared" si="14"/>
        <v>4.3999999999999997E-2</v>
      </c>
      <c r="AU32" s="398">
        <f t="shared" si="47"/>
        <v>193</v>
      </c>
      <c r="AV32" s="387">
        <f t="shared" si="15"/>
        <v>0.53900000000000003</v>
      </c>
      <c r="AW32" s="393">
        <f t="shared" si="16"/>
        <v>81</v>
      </c>
      <c r="AX32" s="397"/>
      <c r="AY32" s="399"/>
      <c r="AZ32" s="409">
        <f t="shared" si="30"/>
        <v>1247</v>
      </c>
      <c r="BA32" s="381"/>
      <c r="BB32" s="409">
        <v>0</v>
      </c>
      <c r="BC32" s="393">
        <v>0</v>
      </c>
      <c r="BD32" s="400">
        <f t="shared" si="31"/>
        <v>0</v>
      </c>
      <c r="BE32" s="409">
        <f t="shared" si="17"/>
        <v>1247</v>
      </c>
      <c r="BH32" s="366">
        <f t="shared" si="32"/>
        <v>2033</v>
      </c>
      <c r="BI32" s="393">
        <v>0</v>
      </c>
      <c r="BJ32" s="369">
        <f t="shared" si="18"/>
        <v>150</v>
      </c>
      <c r="BK32" s="401">
        <f t="shared" si="19"/>
        <v>10.631</v>
      </c>
      <c r="BL32" s="393">
        <f t="shared" si="44"/>
        <v>1595</v>
      </c>
      <c r="BM32" s="401">
        <f t="shared" si="20"/>
        <v>0.26</v>
      </c>
      <c r="BN32" s="398">
        <f t="shared" si="48"/>
        <v>1142</v>
      </c>
      <c r="BO32" s="402"/>
      <c r="BP32" s="393">
        <f t="shared" si="21"/>
        <v>2737</v>
      </c>
      <c r="BR32" s="393">
        <f t="shared" si="49"/>
        <v>0</v>
      </c>
      <c r="BS32" s="393"/>
      <c r="BT32" s="393">
        <f t="shared" si="33"/>
        <v>2737</v>
      </c>
      <c r="BW32" s="366">
        <f t="shared" si="34"/>
        <v>2033</v>
      </c>
      <c r="BX32" s="393">
        <f t="shared" si="22"/>
        <v>718</v>
      </c>
      <c r="BY32" s="369">
        <f t="shared" si="35"/>
        <v>255</v>
      </c>
      <c r="BZ32" s="403">
        <f t="shared" si="36"/>
        <v>193</v>
      </c>
      <c r="CA32" s="393">
        <f t="shared" si="37"/>
        <v>1166</v>
      </c>
      <c r="CC32" s="393">
        <f t="shared" si="38"/>
        <v>0</v>
      </c>
      <c r="CD32" s="393">
        <f t="shared" si="38"/>
        <v>0</v>
      </c>
      <c r="CE32" s="393">
        <f t="shared" si="39"/>
        <v>0</v>
      </c>
      <c r="CF32" s="393"/>
      <c r="CG32" s="393">
        <f t="shared" si="45"/>
        <v>1166</v>
      </c>
      <c r="DB32" s="333">
        <f>$J20</f>
        <v>7</v>
      </c>
    </row>
    <row r="33" spans="1:106">
      <c r="A33" s="187" t="s">
        <v>75</v>
      </c>
      <c r="C33" s="356">
        <f>+'Gas Input Table Summary'!$E$22</f>
        <v>0.35</v>
      </c>
      <c r="F33" s="368"/>
      <c r="G33" s="368"/>
      <c r="H33" s="368"/>
      <c r="J33" s="333">
        <f t="shared" si="23"/>
        <v>20</v>
      </c>
      <c r="L33" s="366">
        <f t="shared" si="24"/>
        <v>2034</v>
      </c>
      <c r="M33" s="386">
        <f t="shared" si="46"/>
        <v>150</v>
      </c>
      <c r="N33" s="387">
        <f t="shared" si="40"/>
        <v>4.9539999999999997</v>
      </c>
      <c r="O33" s="388">
        <f t="shared" si="0"/>
        <v>743</v>
      </c>
      <c r="P33" s="387">
        <f t="shared" si="1"/>
        <v>0</v>
      </c>
      <c r="Q33" s="389">
        <f t="shared" si="25"/>
        <v>0</v>
      </c>
      <c r="R33" s="390">
        <f t="shared" si="2"/>
        <v>743</v>
      </c>
      <c r="S33" s="372">
        <f t="shared" si="3"/>
        <v>1.5</v>
      </c>
      <c r="T33" s="389">
        <f t="shared" si="41"/>
        <v>172</v>
      </c>
      <c r="U33" s="391">
        <f t="shared" si="42"/>
        <v>258</v>
      </c>
      <c r="V33" s="386">
        <f t="shared" si="26"/>
        <v>1001</v>
      </c>
      <c r="W33" s="392">
        <f t="shared" si="4"/>
        <v>2.5910000000000002</v>
      </c>
      <c r="X33" s="393">
        <f t="shared" si="5"/>
        <v>253</v>
      </c>
      <c r="Y33" s="409">
        <v>0</v>
      </c>
      <c r="Z33" s="409">
        <v>0</v>
      </c>
      <c r="AA33" s="410">
        <f t="shared" si="6"/>
        <v>253</v>
      </c>
      <c r="AB33" s="409">
        <f t="shared" si="7"/>
        <v>748</v>
      </c>
      <c r="AE33" s="366">
        <f t="shared" si="27"/>
        <v>2034</v>
      </c>
      <c r="AF33" s="393">
        <f t="shared" si="8"/>
        <v>743</v>
      </c>
      <c r="AG33" s="368">
        <f t="shared" si="9"/>
        <v>258</v>
      </c>
      <c r="AH33" s="393">
        <f t="shared" si="43"/>
        <v>1001</v>
      </c>
      <c r="AJ33" s="394">
        <f t="shared" si="28"/>
        <v>0</v>
      </c>
      <c r="AK33" s="394">
        <f t="shared" si="28"/>
        <v>0</v>
      </c>
      <c r="AL33" s="395">
        <f t="shared" si="10"/>
        <v>0</v>
      </c>
      <c r="AN33" s="396">
        <f t="shared" si="11"/>
        <v>1001</v>
      </c>
      <c r="AQ33" s="366">
        <f t="shared" si="29"/>
        <v>2034</v>
      </c>
      <c r="AR33" s="409">
        <f t="shared" si="12"/>
        <v>743</v>
      </c>
      <c r="AS33" s="393">
        <f t="shared" si="13"/>
        <v>258</v>
      </c>
      <c r="AT33" s="397">
        <f t="shared" si="14"/>
        <v>4.5999999999999999E-2</v>
      </c>
      <c r="AU33" s="398">
        <f t="shared" si="47"/>
        <v>202</v>
      </c>
      <c r="AV33" s="387">
        <f t="shared" si="15"/>
        <v>0.55200000000000005</v>
      </c>
      <c r="AW33" s="393">
        <f t="shared" si="16"/>
        <v>83</v>
      </c>
      <c r="AX33" s="397"/>
      <c r="AY33" s="399"/>
      <c r="AZ33" s="409">
        <f t="shared" si="30"/>
        <v>1286</v>
      </c>
      <c r="BA33" s="381"/>
      <c r="BB33" s="409">
        <v>0</v>
      </c>
      <c r="BC33" s="393">
        <v>0</v>
      </c>
      <c r="BD33" s="400">
        <f t="shared" si="31"/>
        <v>0</v>
      </c>
      <c r="BE33" s="409">
        <f t="shared" si="17"/>
        <v>1286</v>
      </c>
      <c r="BH33" s="366">
        <f t="shared" si="32"/>
        <v>2034</v>
      </c>
      <c r="BI33" s="393">
        <v>0</v>
      </c>
      <c r="BJ33" s="369">
        <f t="shared" si="18"/>
        <v>150</v>
      </c>
      <c r="BK33" s="401">
        <f t="shared" si="19"/>
        <v>11.004</v>
      </c>
      <c r="BL33" s="393">
        <f t="shared" si="44"/>
        <v>1651</v>
      </c>
      <c r="BM33" s="401">
        <f t="shared" si="20"/>
        <v>0.26900000000000002</v>
      </c>
      <c r="BN33" s="398">
        <f t="shared" si="48"/>
        <v>1181</v>
      </c>
      <c r="BO33" s="398"/>
      <c r="BP33" s="393">
        <f t="shared" si="21"/>
        <v>2832</v>
      </c>
      <c r="BR33" s="393">
        <f t="shared" si="49"/>
        <v>0</v>
      </c>
      <c r="BS33" s="393"/>
      <c r="BT33" s="393">
        <f t="shared" si="33"/>
        <v>2832</v>
      </c>
      <c r="BW33" s="366">
        <f t="shared" si="34"/>
        <v>2034</v>
      </c>
      <c r="BX33" s="393">
        <f t="shared" si="22"/>
        <v>743</v>
      </c>
      <c r="BY33" s="369">
        <f t="shared" si="35"/>
        <v>258</v>
      </c>
      <c r="BZ33" s="403">
        <f t="shared" si="36"/>
        <v>202</v>
      </c>
      <c r="CA33" s="393">
        <f t="shared" si="37"/>
        <v>1203</v>
      </c>
      <c r="CC33" s="393">
        <f t="shared" si="38"/>
        <v>0</v>
      </c>
      <c r="CD33" s="393">
        <f t="shared" si="38"/>
        <v>0</v>
      </c>
      <c r="CE33" s="393">
        <f t="shared" si="39"/>
        <v>0</v>
      </c>
      <c r="CF33" s="393"/>
      <c r="CG33" s="393">
        <f t="shared" si="45"/>
        <v>1203</v>
      </c>
      <c r="DB33" s="333"/>
    </row>
    <row r="34" spans="1:106">
      <c r="A34" s="185" t="s">
        <v>18</v>
      </c>
      <c r="C34" s="358">
        <f>+'Gas Input Table Summary'!$E$23</f>
        <v>2.3E-2</v>
      </c>
      <c r="E34" s="187" t="s">
        <v>76</v>
      </c>
      <c r="F34" s="357">
        <f>+ROUND(F12/F30,0)</f>
        <v>300</v>
      </c>
      <c r="G34" s="357"/>
      <c r="H34" s="357"/>
      <c r="J34" s="333">
        <f t="shared" si="23"/>
        <v>21</v>
      </c>
      <c r="L34" s="366">
        <f t="shared" si="24"/>
        <v>2035</v>
      </c>
      <c r="M34" s="412">
        <f t="shared" si="46"/>
        <v>0</v>
      </c>
      <c r="N34" s="387">
        <f t="shared" si="40"/>
        <v>5.1280000000000001</v>
      </c>
      <c r="O34" s="394">
        <f t="shared" si="0"/>
        <v>0</v>
      </c>
      <c r="P34" s="413">
        <f t="shared" si="1"/>
        <v>0</v>
      </c>
      <c r="Q34" s="410">
        <f t="shared" si="25"/>
        <v>0</v>
      </c>
      <c r="R34" s="414">
        <f t="shared" si="2"/>
        <v>0</v>
      </c>
      <c r="S34" s="415">
        <f t="shared" si="3"/>
        <v>0</v>
      </c>
      <c r="T34" s="389">
        <f t="shared" si="41"/>
        <v>174</v>
      </c>
      <c r="U34" s="416">
        <f t="shared" si="42"/>
        <v>0</v>
      </c>
      <c r="V34" s="412">
        <f t="shared" si="26"/>
        <v>0</v>
      </c>
      <c r="W34" s="392">
        <f t="shared" si="4"/>
        <v>2.681</v>
      </c>
      <c r="X34" s="409">
        <f t="shared" si="5"/>
        <v>0</v>
      </c>
      <c r="Y34" s="409">
        <v>0</v>
      </c>
      <c r="Z34" s="409">
        <v>0</v>
      </c>
      <c r="AA34" s="417">
        <f t="shared" si="6"/>
        <v>0</v>
      </c>
      <c r="AB34" s="418">
        <f t="shared" si="7"/>
        <v>0</v>
      </c>
      <c r="AE34" s="366">
        <f t="shared" si="27"/>
        <v>2035</v>
      </c>
      <c r="AF34" s="409">
        <f t="shared" si="8"/>
        <v>0</v>
      </c>
      <c r="AG34" s="419">
        <f t="shared" si="9"/>
        <v>0</v>
      </c>
      <c r="AH34" s="418">
        <f t="shared" si="43"/>
        <v>0</v>
      </c>
      <c r="AJ34" s="394">
        <f t="shared" si="28"/>
        <v>0</v>
      </c>
      <c r="AK34" s="394">
        <f t="shared" si="28"/>
        <v>0</v>
      </c>
      <c r="AL34" s="420">
        <f t="shared" si="10"/>
        <v>0</v>
      </c>
      <c r="AN34" s="421">
        <f t="shared" si="11"/>
        <v>0</v>
      </c>
      <c r="AQ34" s="366">
        <f t="shared" si="29"/>
        <v>2035</v>
      </c>
      <c r="AR34" s="409">
        <f t="shared" si="12"/>
        <v>0</v>
      </c>
      <c r="AS34" s="409">
        <f t="shared" si="13"/>
        <v>0</v>
      </c>
      <c r="AT34" s="422">
        <f t="shared" si="14"/>
        <v>4.7E-2</v>
      </c>
      <c r="AU34" s="398">
        <f t="shared" si="47"/>
        <v>0</v>
      </c>
      <c r="AV34" s="413">
        <f t="shared" si="15"/>
        <v>0.56399999999999995</v>
      </c>
      <c r="AW34" s="409">
        <f t="shared" si="16"/>
        <v>0</v>
      </c>
      <c r="AX34" s="397"/>
      <c r="AY34" s="423"/>
      <c r="AZ34" s="418">
        <f t="shared" si="30"/>
        <v>0</v>
      </c>
      <c r="BA34" s="381"/>
      <c r="BB34" s="409">
        <v>0</v>
      </c>
      <c r="BC34" s="409">
        <v>0</v>
      </c>
      <c r="BD34" s="424">
        <f t="shared" si="31"/>
        <v>0</v>
      </c>
      <c r="BE34" s="418">
        <f t="shared" si="17"/>
        <v>0</v>
      </c>
      <c r="BH34" s="366">
        <f t="shared" si="32"/>
        <v>2035</v>
      </c>
      <c r="BI34" s="409">
        <v>0</v>
      </c>
      <c r="BJ34" s="412">
        <f t="shared" si="18"/>
        <v>0</v>
      </c>
      <c r="BK34" s="401">
        <f t="shared" si="19"/>
        <v>11.388999999999999</v>
      </c>
      <c r="BL34" s="409">
        <f t="shared" si="44"/>
        <v>0</v>
      </c>
      <c r="BM34" s="401">
        <f t="shared" si="20"/>
        <v>0.27800000000000002</v>
      </c>
      <c r="BN34" s="398">
        <f t="shared" si="48"/>
        <v>0</v>
      </c>
      <c r="BO34" s="425"/>
      <c r="BP34" s="418">
        <f t="shared" si="21"/>
        <v>0</v>
      </c>
      <c r="BR34" s="418">
        <f t="shared" si="49"/>
        <v>0</v>
      </c>
      <c r="BS34" s="418"/>
      <c r="BT34" s="418">
        <f t="shared" si="33"/>
        <v>0</v>
      </c>
      <c r="BW34" s="366">
        <f t="shared" si="34"/>
        <v>2035</v>
      </c>
      <c r="BX34" s="409">
        <f t="shared" si="22"/>
        <v>0</v>
      </c>
      <c r="BY34" s="369">
        <f t="shared" si="35"/>
        <v>0</v>
      </c>
      <c r="BZ34" s="403">
        <f t="shared" si="36"/>
        <v>0</v>
      </c>
      <c r="CA34" s="418">
        <f t="shared" si="37"/>
        <v>0</v>
      </c>
      <c r="CC34" s="418">
        <f t="shared" si="38"/>
        <v>0</v>
      </c>
      <c r="CD34" s="418">
        <f t="shared" si="38"/>
        <v>0</v>
      </c>
      <c r="CE34" s="418">
        <f t="shared" si="39"/>
        <v>0</v>
      </c>
      <c r="CF34" s="418"/>
      <c r="CG34" s="418">
        <f t="shared" si="45"/>
        <v>0</v>
      </c>
      <c r="DB34" s="333"/>
    </row>
    <row r="35" spans="1:106">
      <c r="A35" s="185"/>
      <c r="C35" s="358"/>
      <c r="E35" s="185"/>
      <c r="F35" s="196"/>
      <c r="G35" s="426"/>
      <c r="H35" s="426"/>
      <c r="M35" s="337"/>
      <c r="N35" s="187"/>
      <c r="R35" s="321"/>
      <c r="T35" s="427"/>
      <c r="V35" s="428"/>
      <c r="X35" s="339"/>
      <c r="Y35" s="339"/>
      <c r="Z35" s="339"/>
      <c r="AA35" s="337"/>
      <c r="AB35" s="337"/>
      <c r="AF35" s="337"/>
      <c r="AH35" s="337"/>
      <c r="AN35" s="337"/>
      <c r="AR35" s="337"/>
      <c r="AU35" s="400"/>
      <c r="AW35" s="400"/>
      <c r="AY35" s="400"/>
      <c r="AZ35" s="400"/>
      <c r="BB35" s="339"/>
      <c r="BC35" s="386"/>
      <c r="BG35" s="336"/>
      <c r="BJ35" s="429"/>
      <c r="BP35" s="337"/>
      <c r="BT35" s="428"/>
      <c r="BV35" s="336"/>
      <c r="BY35" s="429"/>
      <c r="CA35" s="337"/>
      <c r="CG35" s="428"/>
      <c r="DB35" s="333">
        <f>$J21</f>
        <v>8</v>
      </c>
    </row>
    <row r="36" spans="1:106">
      <c r="A36" s="185" t="s">
        <v>77</v>
      </c>
      <c r="C36" s="356">
        <f>+'Gas Input Table Summary'!$E$24</f>
        <v>0</v>
      </c>
      <c r="E36" s="430" t="s">
        <v>91</v>
      </c>
      <c r="F36" s="431"/>
      <c r="H36" s="432">
        <f>+'Gas Input Table Summary'!E58</f>
        <v>1.302</v>
      </c>
      <c r="J36" s="321"/>
      <c r="K36" s="187" t="s">
        <v>211</v>
      </c>
      <c r="M36" s="369">
        <f>SUM(M14:M34)</f>
        <v>3000</v>
      </c>
      <c r="N36" s="187"/>
      <c r="R36" s="321"/>
      <c r="S36" s="374"/>
      <c r="T36" s="427"/>
      <c r="V36" s="374">
        <f>SUM(V14:V34)</f>
        <v>15634</v>
      </c>
      <c r="X36" s="357"/>
      <c r="Y36" s="357"/>
      <c r="Z36" s="357"/>
      <c r="AA36" s="357">
        <f>SUM(AA14:AA34)</f>
        <v>5652</v>
      </c>
      <c r="AB36" s="357">
        <f>SUM(AB14:AB34)</f>
        <v>9982</v>
      </c>
      <c r="AD36" s="185" t="s">
        <v>78</v>
      </c>
      <c r="AE36" s="369"/>
      <c r="AF36" s="357"/>
      <c r="AG36" s="357"/>
      <c r="AH36" s="357">
        <f>SUM(AH14:AH34)</f>
        <v>15634</v>
      </c>
      <c r="AL36" s="357">
        <f>SUM(AL14:AL34)</f>
        <v>1934</v>
      </c>
      <c r="AN36" s="357">
        <f>SUM(AN14:AN34)</f>
        <v>13700</v>
      </c>
      <c r="AP36" s="185" t="s">
        <v>78</v>
      </c>
      <c r="AQ36" s="369"/>
      <c r="AR36" s="357"/>
      <c r="AS36" s="357"/>
      <c r="AU36" s="393"/>
      <c r="AW36" s="393"/>
      <c r="AY36" s="393"/>
      <c r="AZ36" s="433">
        <f>SUM(AZ14:AZ34)</f>
        <v>19927</v>
      </c>
      <c r="BB36" s="357"/>
      <c r="BC36" s="357"/>
      <c r="BD36" s="357">
        <f>SUM(BD14:BD34)</f>
        <v>4034</v>
      </c>
      <c r="BE36" s="357">
        <f>SUM(BE14:BE34)</f>
        <v>15893</v>
      </c>
      <c r="BG36" s="434" t="s">
        <v>211</v>
      </c>
      <c r="BI36" s="357"/>
      <c r="BJ36" s="369">
        <f>SUM(BJ14:BJ34)</f>
        <v>3000</v>
      </c>
      <c r="BK36" s="427"/>
      <c r="BL36" s="357"/>
      <c r="BN36" s="357"/>
      <c r="BO36" s="357"/>
      <c r="BP36" s="357">
        <f>SUM(BP14:BP34)</f>
        <v>43443</v>
      </c>
      <c r="BR36" s="357">
        <f>SUM(BR14:BR34)</f>
        <v>3900</v>
      </c>
      <c r="BS36" s="357"/>
      <c r="BT36" s="357">
        <f>SUM(BT14:BT34)</f>
        <v>39543</v>
      </c>
      <c r="BX36" s="357"/>
      <c r="BY36" s="369"/>
      <c r="BZ36" s="434" t="s">
        <v>211</v>
      </c>
      <c r="CA36" s="357">
        <f>SUM(CA14:CA34)</f>
        <v>18582</v>
      </c>
      <c r="CC36" s="357"/>
      <c r="CD36" s="357"/>
      <c r="CE36" s="357">
        <f>SUM(CE14:CE34)</f>
        <v>4034</v>
      </c>
      <c r="CF36" s="357"/>
      <c r="CG36" s="357">
        <f>SUM(CG14:CG34)</f>
        <v>14548</v>
      </c>
      <c r="DB36" s="333"/>
    </row>
    <row r="37" spans="1:106">
      <c r="A37" s="187" t="s">
        <v>47</v>
      </c>
      <c r="C37" s="358">
        <f>+'Gas Input Table Summary'!$E$25</f>
        <v>0</v>
      </c>
      <c r="E37" s="274"/>
      <c r="F37" s="435"/>
      <c r="H37" s="274"/>
      <c r="M37" s="369"/>
      <c r="N37" s="187"/>
      <c r="R37" s="321"/>
      <c r="S37" s="436"/>
      <c r="T37" s="337" t="s">
        <v>80</v>
      </c>
      <c r="V37" s="436">
        <f>ROUND(V14+NPV($C$41,V15:V34),0)</f>
        <v>7981</v>
      </c>
      <c r="X37" s="357"/>
      <c r="Y37" s="357"/>
      <c r="Z37" s="357"/>
      <c r="AA37" s="357">
        <f>ROUND(AA14+NPV($C$41,AA15:AA34),0)</f>
        <v>3798</v>
      </c>
      <c r="AB37" s="357">
        <f>ROUND(AB14+NPV($C$41,AB15:AB34),0)</f>
        <v>4183</v>
      </c>
      <c r="AF37" s="357"/>
      <c r="AG37" s="185" t="s">
        <v>80</v>
      </c>
      <c r="AH37" s="357">
        <f>ROUND(AH14+NPV($C$41,AH15:AH34),0)</f>
        <v>7981</v>
      </c>
      <c r="AL37" s="357">
        <f>ROUND(AL14+NPV($C$41,AL15:AL34),0)</f>
        <v>1934</v>
      </c>
      <c r="AN37" s="357">
        <f>+AH37-AL37</f>
        <v>6047</v>
      </c>
      <c r="AR37" s="357"/>
      <c r="AS37" s="357"/>
      <c r="AU37" s="393"/>
      <c r="AW37" s="185" t="s">
        <v>80</v>
      </c>
      <c r="AY37" s="393"/>
      <c r="AZ37" s="357">
        <f>ROUND(AZ14+NPV($C$43,AZ15:AZ34),0)</f>
        <v>14123</v>
      </c>
      <c r="BB37" s="357"/>
      <c r="BC37" s="357"/>
      <c r="BD37" s="357">
        <f>ROUND(BD14+NPV($C$43,BD15:BD34),0)</f>
        <v>4034</v>
      </c>
      <c r="BE37" s="357">
        <f>AZ37-BD37</f>
        <v>10089</v>
      </c>
      <c r="BG37" s="336"/>
      <c r="BI37" s="357"/>
      <c r="BL37" s="357"/>
      <c r="BN37" s="357" t="s">
        <v>203</v>
      </c>
      <c r="BO37" s="357"/>
      <c r="BP37" s="357">
        <f>ROUND(BP14+NPV($C$39,BP15:BP34),0)</f>
        <v>19351</v>
      </c>
      <c r="BR37" s="357">
        <f>ROUND(BR14+NPV($C$39,BR15:BR34),0)</f>
        <v>3900</v>
      </c>
      <c r="BS37" s="357"/>
      <c r="BT37" s="369">
        <f>ROUND(BT14+NPV($C$39,BT15:BT34),0)</f>
        <v>15451</v>
      </c>
      <c r="BV37" s="336"/>
      <c r="BX37" s="357"/>
      <c r="BZ37" s="357" t="s">
        <v>203</v>
      </c>
      <c r="CA37" s="357">
        <f>ROUND(CA14+NPV($C$41,CA15:CA34),0)</f>
        <v>9458</v>
      </c>
      <c r="CC37" s="357"/>
      <c r="CD37" s="357"/>
      <c r="CE37" s="357">
        <f>ROUND(CE14+NPV($C$41,CE15:CE34),0)</f>
        <v>4034</v>
      </c>
      <c r="CF37" s="357"/>
      <c r="CG37" s="369">
        <f>ROUND(CG14+NPV($C$41,CG15:CG34),0)</f>
        <v>5424</v>
      </c>
      <c r="DB37" s="333">
        <f>$J22</f>
        <v>9</v>
      </c>
    </row>
    <row r="38" spans="1:106">
      <c r="C38" s="358"/>
      <c r="E38" s="437" t="s">
        <v>98</v>
      </c>
      <c r="F38" s="274"/>
      <c r="H38" s="438">
        <f>+'Gas Input Table Summary'!E59</f>
        <v>0.35</v>
      </c>
      <c r="M38" s="369"/>
      <c r="N38" s="187"/>
      <c r="R38" s="321"/>
      <c r="T38" s="427"/>
      <c r="V38" s="386"/>
      <c r="X38" s="185" t="s">
        <v>81</v>
      </c>
      <c r="Z38" s="369"/>
      <c r="AA38" s="369"/>
      <c r="AB38" s="386"/>
      <c r="AF38" s="369"/>
      <c r="AH38" s="369"/>
      <c r="AI38" s="369"/>
      <c r="AR38" s="369"/>
      <c r="AY38" s="369"/>
      <c r="AZ38" s="369"/>
      <c r="BA38" s="369"/>
      <c r="BB38" s="369"/>
      <c r="BC38" s="369"/>
      <c r="BD38" s="369"/>
      <c r="BE38" s="369"/>
      <c r="BF38" s="369"/>
      <c r="BG38" s="336"/>
      <c r="BI38" s="357"/>
      <c r="BP38" s="369"/>
      <c r="BS38" s="369"/>
      <c r="BU38" s="369"/>
      <c r="BV38" s="336"/>
      <c r="BX38" s="357"/>
      <c r="CA38" s="369"/>
      <c r="CF38" s="369"/>
      <c r="DB38" s="333"/>
    </row>
    <row r="39" spans="1:106">
      <c r="A39" s="185" t="s">
        <v>79</v>
      </c>
      <c r="C39" s="361">
        <f>+'Gas Input Table Summary'!$E$26</f>
        <v>0.1</v>
      </c>
      <c r="E39" s="183" t="s">
        <v>225</v>
      </c>
      <c r="K39" s="185" t="s">
        <v>83</v>
      </c>
      <c r="M39" s="369"/>
      <c r="N39" s="357">
        <f>AB37</f>
        <v>4183</v>
      </c>
      <c r="Q39" s="357"/>
      <c r="R39" s="321"/>
      <c r="T39" s="427"/>
      <c r="U39" s="427"/>
      <c r="V39" s="369"/>
      <c r="X39" s="185" t="s">
        <v>81</v>
      </c>
      <c r="Z39" s="369"/>
      <c r="AA39" s="369"/>
      <c r="AB39" s="386"/>
      <c r="AD39" s="185" t="s">
        <v>83</v>
      </c>
      <c r="AF39" s="369"/>
      <c r="AG39" s="357">
        <f>AN37</f>
        <v>6047</v>
      </c>
      <c r="AH39" s="357"/>
      <c r="AI39" s="369"/>
      <c r="AM39" s="369"/>
      <c r="AP39" s="185" t="s">
        <v>83</v>
      </c>
      <c r="AR39" s="369"/>
      <c r="AS39" s="357">
        <f>BE37</f>
        <v>10089</v>
      </c>
      <c r="AU39" s="357"/>
      <c r="AW39" s="357"/>
      <c r="AY39" s="369"/>
      <c r="AZ39" s="369"/>
      <c r="BA39" s="439"/>
      <c r="BB39" s="369"/>
      <c r="BC39" s="369"/>
      <c r="BD39" s="369"/>
      <c r="BF39" s="369"/>
      <c r="BG39" s="185" t="s">
        <v>83</v>
      </c>
      <c r="BJ39" s="357">
        <f>BT37</f>
        <v>15451</v>
      </c>
      <c r="BK39" s="357"/>
      <c r="BP39" s="369"/>
      <c r="BS39" s="369"/>
      <c r="BT39" s="369"/>
      <c r="BU39" s="369"/>
      <c r="BV39" s="185" t="s">
        <v>83</v>
      </c>
      <c r="BY39" s="357">
        <f>CG37</f>
        <v>5424</v>
      </c>
      <c r="BZ39" s="357"/>
      <c r="CA39" s="369"/>
      <c r="CF39" s="369"/>
      <c r="CG39" s="369"/>
      <c r="DB39" s="333"/>
    </row>
    <row r="40" spans="1:106" ht="13.8" thickBot="1">
      <c r="A40" s="185"/>
      <c r="C40" s="361"/>
      <c r="F40" s="368"/>
      <c r="K40" s="185" t="s">
        <v>84</v>
      </c>
      <c r="N40" s="440">
        <f>ROUND(V37/AA37,2)</f>
        <v>2.1</v>
      </c>
      <c r="Q40" s="427"/>
      <c r="R40" s="321"/>
      <c r="AB40" s="386"/>
      <c r="AD40" s="185" t="s">
        <v>84</v>
      </c>
      <c r="AF40" s="427"/>
      <c r="AG40" s="441">
        <f>ROUND(AH37/AL37,2)</f>
        <v>4.13</v>
      </c>
      <c r="AH40" s="427"/>
      <c r="AP40" s="185" t="s">
        <v>84</v>
      </c>
      <c r="AR40" s="427"/>
      <c r="AS40" s="441">
        <f>ROUND(AZ37/BD37,2)</f>
        <v>3.5</v>
      </c>
      <c r="AU40" s="427"/>
      <c r="AW40" s="427"/>
      <c r="AZ40" s="187"/>
      <c r="BD40" s="369"/>
      <c r="BG40" s="185" t="s">
        <v>84</v>
      </c>
      <c r="BJ40" s="441">
        <f>ROUND(BP37/BR37,20)</f>
        <v>4.9617948717948703</v>
      </c>
      <c r="BK40" s="427"/>
      <c r="BV40" s="185" t="s">
        <v>84</v>
      </c>
      <c r="BY40" s="441">
        <f>ROUND(CA37/CE37,2)</f>
        <v>2.34</v>
      </c>
      <c r="BZ40" s="427"/>
      <c r="DB40" s="333">
        <f>$J23</f>
        <v>10</v>
      </c>
    </row>
    <row r="41" spans="1:106" ht="13.8" thickTop="1">
      <c r="A41" s="185" t="s">
        <v>82</v>
      </c>
      <c r="C41" s="361">
        <f>+'Gas Input Table Summary'!$E$27</f>
        <v>7.5999999999999998E-2</v>
      </c>
      <c r="E41" s="59" t="s">
        <v>88</v>
      </c>
      <c r="F41" s="60" t="s">
        <v>89</v>
      </c>
      <c r="G41" s="61" t="s">
        <v>90</v>
      </c>
      <c r="J41" s="355"/>
      <c r="K41" s="442"/>
      <c r="L41" s="355"/>
      <c r="M41" s="355"/>
      <c r="N41" s="355"/>
      <c r="O41" s="355"/>
      <c r="Q41" s="355"/>
      <c r="R41" s="443"/>
      <c r="S41" s="355"/>
      <c r="T41" s="355"/>
      <c r="U41" s="355"/>
      <c r="V41" s="355"/>
      <c r="W41" s="355"/>
      <c r="X41" s="355"/>
      <c r="AB41" s="386"/>
      <c r="AD41" s="185"/>
      <c r="AM41" s="444"/>
      <c r="AN41" s="185"/>
      <c r="AP41" s="185"/>
      <c r="AZ41" s="187"/>
      <c r="BB41" s="444"/>
      <c r="BE41" s="185"/>
      <c r="BG41" s="336"/>
      <c r="BV41" s="336"/>
      <c r="DB41" s="333">
        <f>$J24</f>
        <v>11</v>
      </c>
    </row>
    <row r="42" spans="1:106">
      <c r="E42" s="445" t="s">
        <v>5</v>
      </c>
      <c r="F42" s="446">
        <f>N39</f>
        <v>4183</v>
      </c>
      <c r="G42" s="447">
        <f>N40</f>
        <v>2.1</v>
      </c>
      <c r="J42" s="75"/>
      <c r="K42" s="75"/>
      <c r="L42" s="448"/>
      <c r="M42" s="448"/>
      <c r="N42" s="448"/>
      <c r="O42" s="448"/>
      <c r="Q42" s="448"/>
      <c r="R42" s="448"/>
      <c r="S42" s="448"/>
      <c r="T42" s="448"/>
      <c r="U42" s="448"/>
      <c r="V42" s="448"/>
      <c r="W42" s="448"/>
      <c r="X42" s="448"/>
      <c r="AB42" s="386"/>
      <c r="AZ42" s="187"/>
      <c r="BD42" s="336"/>
      <c r="DB42" s="333">
        <f>$J25</f>
        <v>12</v>
      </c>
    </row>
    <row r="43" spans="1:106">
      <c r="A43" s="187" t="s">
        <v>85</v>
      </c>
      <c r="C43" s="361">
        <f>+'Gas Input Table Summary'!$E$28</f>
        <v>3.56E-2</v>
      </c>
      <c r="E43" s="449" t="s">
        <v>6</v>
      </c>
      <c r="F43" s="374">
        <f>AG39</f>
        <v>6047</v>
      </c>
      <c r="G43" s="450">
        <f>AG40</f>
        <v>4.13</v>
      </c>
      <c r="J43" s="76" t="s">
        <v>124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8"/>
      <c r="AB43" s="386"/>
      <c r="AD43" s="76" t="s">
        <v>124</v>
      </c>
      <c r="AE43" s="77"/>
      <c r="AF43" s="451"/>
      <c r="AG43" s="451"/>
      <c r="AH43" s="452"/>
      <c r="AI43" s="452"/>
      <c r="AJ43" s="452"/>
      <c r="AK43" s="452"/>
      <c r="AN43" s="185"/>
      <c r="AP43" s="76" t="s">
        <v>124</v>
      </c>
      <c r="AQ43" s="77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2"/>
      <c r="BG43" s="76" t="s">
        <v>124</v>
      </c>
      <c r="BH43" s="77"/>
      <c r="BI43" s="451"/>
      <c r="BJ43" s="451"/>
      <c r="BK43" s="452"/>
      <c r="BL43" s="452"/>
      <c r="BM43" s="452"/>
      <c r="BN43" s="452"/>
      <c r="BO43" s="448"/>
      <c r="BP43" s="448" t="s">
        <v>81</v>
      </c>
      <c r="BQ43" s="448"/>
      <c r="BR43" s="448"/>
      <c r="BV43" s="76" t="s">
        <v>124</v>
      </c>
      <c r="BW43" s="77"/>
      <c r="BX43" s="451"/>
      <c r="BY43" s="451"/>
      <c r="BZ43" s="452"/>
      <c r="CA43" s="448" t="s">
        <v>81</v>
      </c>
      <c r="CB43" s="448"/>
      <c r="CC43" s="448"/>
      <c r="CD43" s="448"/>
      <c r="CE43" s="448"/>
      <c r="CI43" s="381"/>
      <c r="DB43" s="333">
        <f>$J26</f>
        <v>13</v>
      </c>
    </row>
    <row r="44" spans="1:106">
      <c r="E44" s="453" t="s">
        <v>7</v>
      </c>
      <c r="F44" s="374">
        <f>AS39</f>
        <v>10089</v>
      </c>
      <c r="G44" s="450">
        <f>AS40</f>
        <v>3.5</v>
      </c>
      <c r="J44" s="454" t="s">
        <v>48</v>
      </c>
      <c r="K44" s="171" t="s">
        <v>121</v>
      </c>
      <c r="L44" s="455"/>
      <c r="M44" s="455"/>
      <c r="N44" s="455"/>
      <c r="O44" s="455"/>
      <c r="P44" s="455"/>
      <c r="Q44" s="455"/>
      <c r="R44" s="455"/>
      <c r="S44" s="455"/>
      <c r="T44" s="456" t="s">
        <v>56</v>
      </c>
      <c r="U44" s="171" t="s">
        <v>142</v>
      </c>
      <c r="V44" s="455"/>
      <c r="W44" s="455"/>
      <c r="X44" s="457"/>
      <c r="AB44" s="337"/>
      <c r="AD44" s="454" t="s">
        <v>48</v>
      </c>
      <c r="AE44" s="171" t="s">
        <v>162</v>
      </c>
      <c r="AF44" s="455"/>
      <c r="AG44" s="455"/>
      <c r="AH44" s="455"/>
      <c r="AI44" s="455"/>
      <c r="AJ44" s="455"/>
      <c r="AK44" s="457"/>
      <c r="AN44" s="185"/>
      <c r="AP44" s="458" t="s">
        <v>48</v>
      </c>
      <c r="AQ44" s="171" t="s">
        <v>162</v>
      </c>
      <c r="AR44" s="455"/>
      <c r="AS44" s="455"/>
      <c r="AU44" s="455"/>
      <c r="AW44" s="459" t="s">
        <v>55</v>
      </c>
      <c r="AZ44" s="363" t="s">
        <v>152</v>
      </c>
      <c r="BA44" s="339"/>
      <c r="BC44" s="339"/>
      <c r="BD44" s="455"/>
      <c r="BE44" s="457"/>
      <c r="BG44" s="460" t="s">
        <v>48</v>
      </c>
      <c r="BH44" s="171" t="s">
        <v>156</v>
      </c>
      <c r="BI44" s="455"/>
      <c r="BJ44" s="455"/>
      <c r="BK44" s="455"/>
      <c r="BL44" s="455"/>
      <c r="BM44" s="455"/>
      <c r="BN44" s="457"/>
      <c r="BV44" s="460" t="s">
        <v>48</v>
      </c>
      <c r="BW44" s="171" t="s">
        <v>162</v>
      </c>
      <c r="BX44" s="455"/>
      <c r="BY44" s="455"/>
      <c r="BZ44" s="457"/>
      <c r="CI44" s="381"/>
      <c r="DB44" s="333"/>
    </row>
    <row r="45" spans="1:106">
      <c r="A45" s="185" t="s">
        <v>86</v>
      </c>
      <c r="C45" s="461">
        <f>+'Res .95+% Res Furnace - NEW'!C45</f>
        <v>2014</v>
      </c>
      <c r="E45" s="449" t="s">
        <v>8</v>
      </c>
      <c r="F45" s="374">
        <f>BJ39</f>
        <v>15451</v>
      </c>
      <c r="G45" s="450">
        <f>BJ40</f>
        <v>4.9617948717948703</v>
      </c>
      <c r="J45" s="462" t="s">
        <v>49</v>
      </c>
      <c r="K45" s="172" t="s">
        <v>139</v>
      </c>
      <c r="L45" s="339"/>
      <c r="M45" s="339"/>
      <c r="N45" s="339"/>
      <c r="O45" s="339"/>
      <c r="P45" s="339"/>
      <c r="Q45" s="339"/>
      <c r="R45" s="339"/>
      <c r="S45" s="339"/>
      <c r="T45" s="459" t="s">
        <v>57</v>
      </c>
      <c r="U45" s="172" t="s">
        <v>143</v>
      </c>
      <c r="V45" s="339"/>
      <c r="W45" s="339"/>
      <c r="X45" s="463"/>
      <c r="AB45" s="357"/>
      <c r="AD45" s="462" t="s">
        <v>49</v>
      </c>
      <c r="AE45" s="464" t="s">
        <v>163</v>
      </c>
      <c r="AF45" s="339"/>
      <c r="AG45" s="339"/>
      <c r="AH45" s="339"/>
      <c r="AI45" s="339"/>
      <c r="AJ45" s="339"/>
      <c r="AK45" s="463"/>
      <c r="AP45" s="465" t="s">
        <v>54</v>
      </c>
      <c r="AQ45" s="172" t="s">
        <v>163</v>
      </c>
      <c r="AR45" s="339"/>
      <c r="AS45" s="339"/>
      <c r="AU45" s="339"/>
      <c r="AW45" s="459" t="s">
        <v>56</v>
      </c>
      <c r="AZ45" s="464" t="s">
        <v>153</v>
      </c>
      <c r="BA45" s="339"/>
      <c r="BC45" s="339"/>
      <c r="BD45" s="339"/>
      <c r="BE45" s="463"/>
      <c r="BG45" s="466" t="s">
        <v>49</v>
      </c>
      <c r="BH45" s="172" t="s">
        <v>125</v>
      </c>
      <c r="BI45" s="339"/>
      <c r="BJ45" s="339"/>
      <c r="BK45" s="339"/>
      <c r="BL45" s="339"/>
      <c r="BM45" s="339"/>
      <c r="BN45" s="463"/>
      <c r="BV45" s="466" t="s">
        <v>49</v>
      </c>
      <c r="BW45" s="172" t="s">
        <v>163</v>
      </c>
      <c r="BX45" s="339"/>
      <c r="BY45" s="339"/>
      <c r="BZ45" s="463"/>
      <c r="CI45" s="381"/>
      <c r="DB45" s="333"/>
    </row>
    <row r="46" spans="1:106">
      <c r="C46" s="336"/>
      <c r="E46" s="180" t="s">
        <v>216</v>
      </c>
      <c r="F46" s="467">
        <f>BY39</f>
        <v>5424</v>
      </c>
      <c r="G46" s="468">
        <f>BY40</f>
        <v>2.34</v>
      </c>
      <c r="J46" s="462" t="s">
        <v>50</v>
      </c>
      <c r="K46" s="464" t="s">
        <v>120</v>
      </c>
      <c r="L46" s="339"/>
      <c r="M46" s="339"/>
      <c r="N46" s="339"/>
      <c r="O46" s="339"/>
      <c r="P46" s="339"/>
      <c r="Q46" s="339"/>
      <c r="R46" s="339"/>
      <c r="S46" s="339"/>
      <c r="T46" s="459" t="s">
        <v>58</v>
      </c>
      <c r="U46" s="172" t="s">
        <v>159</v>
      </c>
      <c r="V46" s="339"/>
      <c r="W46" s="339"/>
      <c r="X46" s="463"/>
      <c r="AB46" s="369"/>
      <c r="AD46" s="462" t="s">
        <v>50</v>
      </c>
      <c r="AE46" s="464" t="s">
        <v>164</v>
      </c>
      <c r="AF46" s="339"/>
      <c r="AG46" s="339"/>
      <c r="AH46" s="339"/>
      <c r="AI46" s="339"/>
      <c r="AJ46" s="339"/>
      <c r="AK46" s="463"/>
      <c r="AP46" s="465" t="s">
        <v>50</v>
      </c>
      <c r="AQ46" s="173" t="s">
        <v>199</v>
      </c>
      <c r="AR46" s="355"/>
      <c r="AS46" s="355"/>
      <c r="AU46" s="355"/>
      <c r="AW46" s="459" t="s">
        <v>57</v>
      </c>
      <c r="AZ46" s="464" t="s">
        <v>154</v>
      </c>
      <c r="BA46" s="339"/>
      <c r="BC46" s="339"/>
      <c r="BD46" s="339"/>
      <c r="BE46" s="463"/>
      <c r="BG46" s="466" t="s">
        <v>50</v>
      </c>
      <c r="BH46" s="174" t="s">
        <v>129</v>
      </c>
      <c r="BI46" s="355"/>
      <c r="BJ46" s="355"/>
      <c r="BK46" s="339"/>
      <c r="BL46" s="355"/>
      <c r="BM46" s="459"/>
      <c r="BN46" s="469"/>
      <c r="BV46" s="466" t="s">
        <v>50</v>
      </c>
      <c r="BW46" s="172" t="s">
        <v>218</v>
      </c>
      <c r="BX46" s="355"/>
      <c r="BY46" s="355"/>
      <c r="BZ46" s="463"/>
      <c r="CI46" s="381"/>
      <c r="DB46" s="333"/>
    </row>
    <row r="47" spans="1:106">
      <c r="A47" s="185" t="s">
        <v>87</v>
      </c>
      <c r="C47" s="461">
        <f>+'Res .95+% Res Furnace - NEW'!C47</f>
        <v>2015</v>
      </c>
      <c r="J47" s="462" t="s">
        <v>51</v>
      </c>
      <c r="K47" s="172" t="s">
        <v>138</v>
      </c>
      <c r="L47" s="339"/>
      <c r="M47" s="339"/>
      <c r="N47" s="339"/>
      <c r="O47" s="339"/>
      <c r="P47" s="339"/>
      <c r="Q47" s="339"/>
      <c r="R47" s="339"/>
      <c r="S47" s="339"/>
      <c r="T47" s="459" t="s">
        <v>59</v>
      </c>
      <c r="U47" s="404" t="s">
        <v>160</v>
      </c>
      <c r="V47" s="339"/>
      <c r="W47" s="339"/>
      <c r="X47" s="463"/>
      <c r="AB47" s="369"/>
      <c r="AD47" s="462" t="s">
        <v>51</v>
      </c>
      <c r="AE47" s="172" t="s">
        <v>126</v>
      </c>
      <c r="AF47" s="339"/>
      <c r="AG47" s="339"/>
      <c r="AH47" s="339"/>
      <c r="AI47" s="339"/>
      <c r="AJ47" s="339"/>
      <c r="AK47" s="463"/>
      <c r="AO47" s="185"/>
      <c r="AP47" s="465" t="s">
        <v>51</v>
      </c>
      <c r="AQ47" s="173" t="s">
        <v>151</v>
      </c>
      <c r="AR47" s="355"/>
      <c r="AS47" s="355"/>
      <c r="AU47" s="355"/>
      <c r="AW47" s="459" t="s">
        <v>58</v>
      </c>
      <c r="AZ47" s="464" t="s">
        <v>155</v>
      </c>
      <c r="BA47" s="339"/>
      <c r="BC47" s="339"/>
      <c r="BD47" s="339"/>
      <c r="BE47" s="463"/>
      <c r="BG47" s="466" t="s">
        <v>51</v>
      </c>
      <c r="BH47" s="173" t="s">
        <v>130</v>
      </c>
      <c r="BI47" s="355"/>
      <c r="BJ47" s="355"/>
      <c r="BK47" s="339"/>
      <c r="BL47" s="355"/>
      <c r="BM47" s="459"/>
      <c r="BN47" s="469"/>
      <c r="BO47" s="339"/>
      <c r="BP47" s="339"/>
      <c r="BQ47" s="339"/>
      <c r="BR47" s="339"/>
      <c r="BV47" s="466" t="s">
        <v>51</v>
      </c>
      <c r="BW47" s="172" t="s">
        <v>127</v>
      </c>
      <c r="BX47" s="355"/>
      <c r="BY47" s="355"/>
      <c r="BZ47" s="463"/>
      <c r="CA47" s="339"/>
      <c r="CB47" s="339"/>
      <c r="CC47" s="339"/>
      <c r="CD47" s="339"/>
      <c r="CE47" s="339"/>
      <c r="CI47" s="381"/>
      <c r="DB47" s="333"/>
    </row>
    <row r="48" spans="1:106">
      <c r="A48" s="185"/>
      <c r="C48" s="366"/>
      <c r="J48" s="462" t="s">
        <v>52</v>
      </c>
      <c r="K48" s="464" t="s">
        <v>140</v>
      </c>
      <c r="L48" s="339"/>
      <c r="M48" s="339"/>
      <c r="N48" s="339"/>
      <c r="O48" s="348"/>
      <c r="P48" s="339"/>
      <c r="Q48" s="339"/>
      <c r="R48" s="339"/>
      <c r="S48" s="339"/>
      <c r="T48" s="459" t="s">
        <v>60</v>
      </c>
      <c r="U48" s="172" t="s">
        <v>146</v>
      </c>
      <c r="V48" s="339"/>
      <c r="W48" s="339"/>
      <c r="X48" s="463"/>
      <c r="AD48" s="462" t="s">
        <v>52</v>
      </c>
      <c r="AE48" s="172" t="s">
        <v>156</v>
      </c>
      <c r="AF48" s="339"/>
      <c r="AG48" s="339"/>
      <c r="AH48" s="339"/>
      <c r="AI48" s="339"/>
      <c r="AJ48" s="339"/>
      <c r="AK48" s="463"/>
      <c r="AP48" s="465" t="s">
        <v>52</v>
      </c>
      <c r="AQ48" s="173" t="s">
        <v>134</v>
      </c>
      <c r="AR48" s="355"/>
      <c r="AS48" s="355"/>
      <c r="AU48" s="355"/>
      <c r="AW48" s="459"/>
      <c r="AZ48" s="187"/>
      <c r="BA48" s="339"/>
      <c r="BC48" s="339"/>
      <c r="BD48" s="339"/>
      <c r="BE48" s="463"/>
      <c r="BG48" s="466" t="s">
        <v>52</v>
      </c>
      <c r="BH48" s="173" t="s">
        <v>165</v>
      </c>
      <c r="BI48" s="355"/>
      <c r="BJ48" s="355"/>
      <c r="BK48" s="339"/>
      <c r="BL48" s="355"/>
      <c r="BM48" s="355"/>
      <c r="BN48" s="463"/>
      <c r="BO48" s="339"/>
      <c r="BP48" s="339"/>
      <c r="BQ48" s="339"/>
      <c r="BR48" s="339"/>
      <c r="BV48" s="466" t="s">
        <v>52</v>
      </c>
      <c r="BW48" s="172" t="s">
        <v>222</v>
      </c>
      <c r="BX48" s="355"/>
      <c r="BY48" s="355"/>
      <c r="BZ48" s="463"/>
      <c r="CA48" s="339"/>
      <c r="CB48" s="339"/>
      <c r="CC48" s="339"/>
      <c r="CD48" s="339"/>
      <c r="CE48" s="339"/>
      <c r="CI48" s="381"/>
      <c r="DB48" s="333"/>
    </row>
    <row r="49" spans="1:108">
      <c r="A49" s="185"/>
      <c r="C49" s="336"/>
      <c r="J49" s="462" t="s">
        <v>53</v>
      </c>
      <c r="K49" s="172" t="s">
        <v>141</v>
      </c>
      <c r="L49" s="339"/>
      <c r="M49" s="339"/>
      <c r="N49" s="339"/>
      <c r="O49" s="339"/>
      <c r="P49" s="339"/>
      <c r="Q49" s="339"/>
      <c r="R49" s="339"/>
      <c r="S49" s="339"/>
      <c r="T49" s="459" t="s">
        <v>61</v>
      </c>
      <c r="U49" s="464" t="s">
        <v>128</v>
      </c>
      <c r="V49" s="339"/>
      <c r="W49" s="339"/>
      <c r="X49" s="463"/>
      <c r="AD49" s="462" t="s">
        <v>53</v>
      </c>
      <c r="AE49" s="464" t="s">
        <v>148</v>
      </c>
      <c r="AF49" s="339"/>
      <c r="AG49" s="339"/>
      <c r="AH49" s="339"/>
      <c r="AI49" s="339"/>
      <c r="AJ49" s="339"/>
      <c r="AK49" s="463"/>
      <c r="AP49" s="465" t="s">
        <v>53</v>
      </c>
      <c r="AQ49" s="172" t="s">
        <v>135</v>
      </c>
      <c r="AR49" s="339"/>
      <c r="AS49" s="339"/>
      <c r="AU49" s="339"/>
      <c r="AW49" s="459"/>
      <c r="AZ49" s="187"/>
      <c r="BA49" s="339"/>
      <c r="BC49" s="339"/>
      <c r="BD49" s="339"/>
      <c r="BE49" s="463"/>
      <c r="BG49" s="466" t="s">
        <v>53</v>
      </c>
      <c r="BH49" s="173" t="s">
        <v>365</v>
      </c>
      <c r="BI49" s="355"/>
      <c r="BJ49" s="355"/>
      <c r="BK49" s="339"/>
      <c r="BL49" s="355"/>
      <c r="BM49" s="459"/>
      <c r="BN49" s="463"/>
      <c r="BO49" s="339"/>
      <c r="BP49" s="339"/>
      <c r="BQ49" s="339"/>
      <c r="BR49" s="339"/>
      <c r="BV49" s="466" t="s">
        <v>53</v>
      </c>
      <c r="BW49" s="172" t="s">
        <v>223</v>
      </c>
      <c r="BX49" s="355"/>
      <c r="BY49" s="355"/>
      <c r="BZ49" s="463"/>
      <c r="CA49" s="339"/>
      <c r="CB49" s="339"/>
      <c r="CC49" s="339"/>
      <c r="CD49" s="339"/>
      <c r="CE49" s="339"/>
      <c r="DB49" s="333">
        <f>$J27</f>
        <v>14</v>
      </c>
    </row>
    <row r="50" spans="1:108">
      <c r="J50" s="462" t="s">
        <v>54</v>
      </c>
      <c r="K50" s="172" t="s">
        <v>122</v>
      </c>
      <c r="L50" s="339"/>
      <c r="M50" s="339"/>
      <c r="N50" s="339"/>
      <c r="O50" s="339"/>
      <c r="P50" s="339"/>
      <c r="Q50" s="339"/>
      <c r="R50" s="339"/>
      <c r="S50" s="339"/>
      <c r="T50" s="459" t="s">
        <v>137</v>
      </c>
      <c r="U50" s="464" t="s">
        <v>161</v>
      </c>
      <c r="V50" s="339"/>
      <c r="W50" s="339"/>
      <c r="X50" s="463"/>
      <c r="AD50" s="180" t="s">
        <v>54</v>
      </c>
      <c r="AE50" s="470" t="s">
        <v>149</v>
      </c>
      <c r="AF50" s="346"/>
      <c r="AG50" s="346"/>
      <c r="AH50" s="346"/>
      <c r="AI50" s="346"/>
      <c r="AJ50" s="346"/>
      <c r="AK50" s="471"/>
      <c r="AP50" s="472" t="s">
        <v>54</v>
      </c>
      <c r="AQ50" s="473" t="s">
        <v>150</v>
      </c>
      <c r="AR50" s="346"/>
      <c r="AS50" s="346"/>
      <c r="AT50" s="346"/>
      <c r="AU50" s="346"/>
      <c r="AV50" s="346"/>
      <c r="AW50" s="474"/>
      <c r="AX50" s="474"/>
      <c r="AY50" s="474"/>
      <c r="AZ50" s="474"/>
      <c r="BA50" s="346"/>
      <c r="BB50" s="346"/>
      <c r="BC50" s="346"/>
      <c r="BD50" s="346"/>
      <c r="BE50" s="471"/>
      <c r="BG50" s="466" t="s">
        <v>54</v>
      </c>
      <c r="BH50" s="173" t="s">
        <v>157</v>
      </c>
      <c r="BI50" s="355"/>
      <c r="BJ50" s="355"/>
      <c r="BK50" s="339"/>
      <c r="BL50" s="355"/>
      <c r="BM50" s="459"/>
      <c r="BN50" s="463"/>
      <c r="BO50" s="339"/>
      <c r="BP50" s="339"/>
      <c r="BQ50" s="339"/>
      <c r="BR50" s="339"/>
      <c r="BV50" s="466" t="s">
        <v>54</v>
      </c>
      <c r="BW50" s="173" t="s">
        <v>219</v>
      </c>
      <c r="BX50" s="355"/>
      <c r="BY50" s="355"/>
      <c r="BZ50" s="463"/>
      <c r="CA50" s="339"/>
      <c r="CB50" s="339"/>
      <c r="CC50" s="339"/>
      <c r="CD50" s="339"/>
      <c r="CE50" s="339"/>
      <c r="DB50" s="333">
        <f>$J28</f>
        <v>15</v>
      </c>
    </row>
    <row r="51" spans="1:108" ht="14.1" customHeight="1">
      <c r="A51" s="339"/>
      <c r="B51" s="339"/>
      <c r="C51" s="339"/>
      <c r="J51" s="475" t="s">
        <v>55</v>
      </c>
      <c r="K51" s="476" t="s">
        <v>123</v>
      </c>
      <c r="L51" s="346"/>
      <c r="M51" s="346"/>
      <c r="N51" s="346"/>
      <c r="O51" s="346"/>
      <c r="P51" s="346"/>
      <c r="Q51" s="346"/>
      <c r="R51" s="346"/>
      <c r="S51" s="346"/>
      <c r="T51" s="474" t="s">
        <v>145</v>
      </c>
      <c r="U51" s="476" t="s">
        <v>147</v>
      </c>
      <c r="V51" s="346"/>
      <c r="W51" s="346"/>
      <c r="X51" s="471"/>
      <c r="AD51" s="459"/>
      <c r="AE51" s="339"/>
      <c r="AF51" s="339"/>
      <c r="AG51" s="339"/>
      <c r="AH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G51" s="466" t="s">
        <v>55</v>
      </c>
      <c r="BH51" s="174" t="s">
        <v>166</v>
      </c>
      <c r="BI51" s="339"/>
      <c r="BJ51" s="339"/>
      <c r="BK51" s="339"/>
      <c r="BL51" s="339"/>
      <c r="BM51" s="339"/>
      <c r="BN51" s="463"/>
      <c r="BO51" s="339"/>
      <c r="BP51" s="339"/>
      <c r="BQ51" s="339"/>
      <c r="BR51" s="339"/>
      <c r="BV51" s="466" t="s">
        <v>55</v>
      </c>
      <c r="BW51" s="174" t="s">
        <v>220</v>
      </c>
      <c r="BX51" s="339"/>
      <c r="BY51" s="339"/>
      <c r="BZ51" s="463"/>
      <c r="CA51" s="339"/>
      <c r="CB51" s="339"/>
      <c r="CC51" s="339"/>
      <c r="CD51" s="339"/>
      <c r="CE51" s="339"/>
      <c r="DB51" s="333">
        <f>$J29</f>
        <v>16</v>
      </c>
    </row>
    <row r="52" spans="1:108" ht="14.1" customHeight="1">
      <c r="A52" s="477"/>
      <c r="B52" s="339"/>
      <c r="C52" s="478"/>
      <c r="K52" s="193"/>
      <c r="N52" s="187"/>
      <c r="R52" s="32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G52" s="479" t="s">
        <v>56</v>
      </c>
      <c r="BH52" s="480" t="s">
        <v>158</v>
      </c>
      <c r="BI52" s="481"/>
      <c r="BJ52" s="481"/>
      <c r="BK52" s="481"/>
      <c r="BL52" s="481"/>
      <c r="BM52" s="346"/>
      <c r="BN52" s="471"/>
      <c r="BV52" s="479"/>
      <c r="BW52" s="346"/>
      <c r="BX52" s="481"/>
      <c r="BY52" s="481"/>
      <c r="BZ52" s="482"/>
      <c r="CL52" s="427"/>
      <c r="DB52" s="369"/>
    </row>
    <row r="53" spans="1:108" ht="14.1" customHeight="1">
      <c r="A53" s="339"/>
      <c r="B53" s="339"/>
      <c r="C53" s="477"/>
      <c r="K53" s="193"/>
      <c r="N53" s="187"/>
      <c r="R53" s="321"/>
      <c r="AB53" s="369"/>
      <c r="AP53" s="45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G53" s="483"/>
      <c r="BH53" s="339"/>
      <c r="BI53" s="355"/>
      <c r="BJ53" s="355"/>
      <c r="BK53" s="355"/>
      <c r="BL53" s="355"/>
      <c r="BM53" s="339"/>
      <c r="BN53" s="339"/>
      <c r="BV53" s="483"/>
      <c r="BW53" s="339"/>
      <c r="BX53" s="355"/>
      <c r="BY53" s="355"/>
      <c r="BZ53" s="355"/>
      <c r="CL53" s="357"/>
      <c r="DD53" s="369"/>
    </row>
    <row r="54" spans="1:108" ht="14.1" customHeight="1">
      <c r="C54" s="484"/>
      <c r="K54" s="193"/>
      <c r="N54" s="187"/>
      <c r="R54" s="321"/>
      <c r="AP54" s="485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H54" s="336"/>
      <c r="BW54" s="336"/>
    </row>
    <row r="55" spans="1:108" ht="14.1" customHeight="1">
      <c r="C55" s="484"/>
      <c r="N55" s="187"/>
      <c r="R55" s="321"/>
      <c r="AP55" s="485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H55" s="336"/>
      <c r="BW55" s="336"/>
    </row>
    <row r="56" spans="1:108">
      <c r="C56" s="486"/>
      <c r="N56" s="187"/>
      <c r="Q56" s="321"/>
      <c r="AO56" s="477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G56" s="336"/>
      <c r="BV56" s="336"/>
    </row>
    <row r="57" spans="1:108">
      <c r="C57" s="487"/>
      <c r="N57" s="187"/>
      <c r="Q57" s="32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G57" s="336"/>
      <c r="BV57" s="336"/>
    </row>
    <row r="58" spans="1:108">
      <c r="C58" s="487"/>
      <c r="N58" s="187"/>
      <c r="Q58" s="321"/>
      <c r="AZ58" s="187"/>
      <c r="BG58" s="336"/>
      <c r="BV58" s="336"/>
    </row>
    <row r="59" spans="1:108">
      <c r="C59" s="488"/>
      <c r="N59" s="187"/>
      <c r="Q59" s="321"/>
      <c r="AZ59" s="187"/>
      <c r="BG59" s="336"/>
      <c r="BV59" s="336"/>
    </row>
    <row r="60" spans="1:108">
      <c r="N60" s="187"/>
      <c r="Q60" s="321"/>
      <c r="AZ60" s="187"/>
      <c r="BG60" s="336"/>
      <c r="BV60" s="336"/>
    </row>
    <row r="61" spans="1:108">
      <c r="N61" s="187"/>
      <c r="Q61" s="321"/>
      <c r="AZ61" s="187"/>
      <c r="BG61" s="336"/>
      <c r="BV61" s="336"/>
    </row>
    <row r="62" spans="1:108" ht="12" customHeight="1">
      <c r="N62" s="187"/>
      <c r="Q62" s="321"/>
      <c r="AZ62" s="187"/>
      <c r="BG62" s="336"/>
      <c r="BV62" s="336"/>
    </row>
    <row r="63" spans="1:108">
      <c r="D63" s="339"/>
      <c r="E63" s="339"/>
      <c r="F63" s="489"/>
      <c r="G63" s="489"/>
      <c r="N63" s="187"/>
      <c r="Q63" s="321"/>
      <c r="AZ63" s="187"/>
      <c r="BG63" s="336"/>
      <c r="BV63" s="336"/>
    </row>
    <row r="64" spans="1:108">
      <c r="D64" s="339"/>
      <c r="E64" s="339"/>
      <c r="F64" s="489"/>
      <c r="G64" s="489"/>
      <c r="N64" s="187"/>
      <c r="Q64" s="321"/>
      <c r="AZ64" s="187"/>
      <c r="BG64" s="336"/>
      <c r="BV64" s="336"/>
    </row>
    <row r="65" spans="1:74">
      <c r="C65" s="357"/>
      <c r="D65" s="339"/>
      <c r="E65" s="339"/>
      <c r="F65" s="339"/>
      <c r="G65" s="339"/>
      <c r="N65" s="187"/>
      <c r="Q65" s="321"/>
      <c r="AZ65" s="187"/>
      <c r="BG65" s="336"/>
      <c r="BV65" s="336"/>
    </row>
    <row r="66" spans="1:74">
      <c r="A66" s="44"/>
      <c r="B66" s="185"/>
      <c r="D66" s="339"/>
      <c r="E66" s="339"/>
      <c r="F66" s="339"/>
      <c r="G66" s="339"/>
      <c r="N66" s="187"/>
      <c r="Q66" s="321"/>
      <c r="AZ66" s="187"/>
      <c r="BG66" s="336"/>
      <c r="BV66" s="336"/>
    </row>
    <row r="67" spans="1:74">
      <c r="A67" s="44"/>
      <c r="B67" s="185"/>
      <c r="D67" s="339"/>
      <c r="E67" s="339"/>
      <c r="F67" s="339"/>
      <c r="G67" s="339"/>
      <c r="N67" s="187"/>
      <c r="Q67" s="321"/>
      <c r="AZ67" s="187"/>
      <c r="BG67" s="336"/>
      <c r="BV67" s="336"/>
    </row>
    <row r="68" spans="1:74">
      <c r="N68" s="187"/>
      <c r="Q68" s="321"/>
      <c r="AZ68" s="187"/>
      <c r="BG68" s="336"/>
      <c r="BV68" s="336"/>
    </row>
    <row r="69" spans="1:74">
      <c r="N69" s="187"/>
      <c r="Q69" s="321"/>
      <c r="AZ69" s="187"/>
      <c r="BG69" s="336"/>
      <c r="BV69" s="336"/>
    </row>
    <row r="70" spans="1:74">
      <c r="N70" s="187"/>
      <c r="Q70" s="321"/>
      <c r="AZ70" s="187"/>
      <c r="BG70" s="336"/>
      <c r="BV70" s="336"/>
    </row>
    <row r="71" spans="1:74">
      <c r="N71" s="187"/>
      <c r="Q71" s="321"/>
      <c r="AZ71" s="187"/>
      <c r="BG71" s="336"/>
      <c r="BV71" s="336"/>
    </row>
    <row r="72" spans="1:74">
      <c r="N72" s="187"/>
      <c r="Q72" s="321"/>
      <c r="AZ72" s="187"/>
      <c r="BG72" s="336"/>
      <c r="BV72" s="336"/>
    </row>
    <row r="73" spans="1:74">
      <c r="N73" s="187"/>
      <c r="Q73" s="321"/>
      <c r="AZ73" s="187"/>
      <c r="BG73" s="336"/>
      <c r="BV73" s="336"/>
    </row>
    <row r="74" spans="1:74">
      <c r="N74" s="187"/>
      <c r="Q74" s="321"/>
      <c r="AZ74" s="187"/>
      <c r="BG74" s="336"/>
      <c r="BV74" s="336"/>
    </row>
    <row r="75" spans="1:74">
      <c r="N75" s="187"/>
      <c r="Q75" s="321"/>
      <c r="AZ75" s="187"/>
      <c r="BG75" s="336"/>
      <c r="BV75" s="336"/>
    </row>
    <row r="76" spans="1:74">
      <c r="N76" s="187"/>
      <c r="Q76" s="321"/>
      <c r="AZ76" s="187"/>
      <c r="BG76" s="336"/>
      <c r="BV76" s="336"/>
    </row>
    <row r="77" spans="1:74">
      <c r="N77" s="187"/>
      <c r="Q77" s="321"/>
      <c r="AZ77" s="187"/>
      <c r="BG77" s="336"/>
      <c r="BV77" s="336"/>
    </row>
    <row r="78" spans="1:74">
      <c r="N78" s="187"/>
      <c r="Q78" s="321"/>
      <c r="AZ78" s="187"/>
      <c r="BG78" s="336"/>
      <c r="BV78" s="336"/>
    </row>
    <row r="79" spans="1:74">
      <c r="N79" s="187"/>
      <c r="Q79" s="321"/>
      <c r="AZ79" s="187"/>
      <c r="BG79" s="336"/>
      <c r="BV79" s="336"/>
    </row>
    <row r="80" spans="1:74">
      <c r="N80" s="187"/>
      <c r="Q80" s="321"/>
      <c r="AZ80" s="187"/>
      <c r="BG80" s="336"/>
      <c r="BV80" s="336"/>
    </row>
    <row r="81" spans="6:74">
      <c r="F81" s="444"/>
      <c r="G81" s="444"/>
      <c r="N81" s="187"/>
      <c r="Q81" s="321"/>
      <c r="AZ81" s="187"/>
      <c r="BG81" s="336"/>
      <c r="BV81" s="336"/>
    </row>
    <row r="82" spans="6:74">
      <c r="N82" s="187"/>
      <c r="Q82" s="321"/>
      <c r="AZ82" s="187"/>
      <c r="BG82" s="336"/>
      <c r="BV82" s="336"/>
    </row>
    <row r="83" spans="6:74">
      <c r="N83" s="187"/>
      <c r="Q83" s="321"/>
      <c r="AZ83" s="187"/>
      <c r="BG83" s="336"/>
      <c r="BV83" s="336"/>
    </row>
    <row r="84" spans="6:74">
      <c r="N84" s="187"/>
      <c r="Q84" s="321"/>
      <c r="AZ84" s="187"/>
      <c r="BG84" s="336"/>
      <c r="BV84" s="336"/>
    </row>
    <row r="85" spans="6:74">
      <c r="N85" s="187"/>
      <c r="Q85" s="321"/>
      <c r="AZ85" s="187"/>
      <c r="BG85" s="336"/>
      <c r="BV85" s="336"/>
    </row>
    <row r="86" spans="6:74">
      <c r="N86" s="187"/>
      <c r="Q86" s="321"/>
      <c r="AZ86" s="187"/>
      <c r="BG86" s="336"/>
      <c r="BV86" s="336"/>
    </row>
    <row r="87" spans="6:74">
      <c r="N87" s="187"/>
      <c r="Q87" s="321"/>
      <c r="AZ87" s="187"/>
      <c r="BG87" s="336"/>
      <c r="BV87" s="336"/>
    </row>
    <row r="88" spans="6:74">
      <c r="N88" s="187"/>
      <c r="Q88" s="321"/>
      <c r="AZ88" s="187"/>
      <c r="BG88" s="336"/>
      <c r="BV88" s="336"/>
    </row>
    <row r="89" spans="6:74">
      <c r="N89" s="187"/>
      <c r="Q89" s="321"/>
      <c r="AZ89" s="187"/>
      <c r="BG89" s="336"/>
      <c r="BV89" s="336"/>
    </row>
    <row r="90" spans="6:74">
      <c r="N90" s="187"/>
      <c r="Q90" s="321"/>
      <c r="AZ90" s="187"/>
      <c r="BG90" s="336"/>
      <c r="BV90" s="336"/>
    </row>
    <row r="91" spans="6:74">
      <c r="N91" s="187"/>
      <c r="Q91" s="321"/>
      <c r="AZ91" s="187"/>
      <c r="BG91" s="336"/>
      <c r="BV91" s="336"/>
    </row>
    <row r="92" spans="6:74">
      <c r="N92" s="187"/>
      <c r="Q92" s="321"/>
      <c r="AZ92" s="187"/>
      <c r="BG92" s="336"/>
      <c r="BV92" s="336"/>
    </row>
    <row r="93" spans="6:74">
      <c r="N93" s="187"/>
      <c r="Q93" s="321"/>
      <c r="AZ93" s="187"/>
      <c r="BG93" s="336"/>
      <c r="BV93" s="336"/>
    </row>
    <row r="94" spans="6:74">
      <c r="N94" s="187"/>
      <c r="Q94" s="321"/>
      <c r="AZ94" s="187"/>
      <c r="BG94" s="336"/>
      <c r="BV94" s="336"/>
    </row>
    <row r="95" spans="6:74">
      <c r="N95" s="187"/>
      <c r="Q95" s="321"/>
      <c r="AZ95" s="187"/>
      <c r="BG95" s="336"/>
      <c r="BV95" s="336"/>
    </row>
    <row r="96" spans="6:74">
      <c r="N96" s="187"/>
      <c r="Q96" s="321"/>
      <c r="AZ96" s="187"/>
      <c r="BG96" s="336"/>
      <c r="BV96" s="336"/>
    </row>
    <row r="97" spans="1:74">
      <c r="N97" s="187"/>
      <c r="Q97" s="321"/>
      <c r="AZ97" s="187"/>
      <c r="BG97" s="336"/>
      <c r="BV97" s="336"/>
    </row>
    <row r="98" spans="1:74">
      <c r="N98" s="187"/>
      <c r="Q98" s="321"/>
      <c r="AZ98" s="187"/>
      <c r="BG98" s="336"/>
      <c r="BV98" s="336"/>
    </row>
    <row r="99" spans="1:74">
      <c r="N99" s="187"/>
      <c r="Q99" s="321"/>
      <c r="AZ99" s="187"/>
      <c r="BG99" s="336"/>
      <c r="BV99" s="336"/>
    </row>
    <row r="100" spans="1:74">
      <c r="N100" s="187"/>
      <c r="Q100" s="321"/>
      <c r="AZ100" s="187"/>
      <c r="BG100" s="336"/>
      <c r="BV100" s="336"/>
    </row>
    <row r="101" spans="1:74">
      <c r="N101" s="187"/>
      <c r="Q101" s="321"/>
      <c r="AZ101" s="187"/>
      <c r="BG101" s="336"/>
      <c r="BV101" s="336"/>
    </row>
    <row r="102" spans="1:74">
      <c r="N102" s="187"/>
      <c r="Q102" s="321"/>
      <c r="AZ102" s="187"/>
      <c r="BG102" s="336"/>
      <c r="BV102" s="336"/>
    </row>
    <row r="103" spans="1:74">
      <c r="N103" s="187"/>
      <c r="Q103" s="321"/>
      <c r="AZ103" s="187"/>
      <c r="BG103" s="336"/>
      <c r="BV103" s="336"/>
    </row>
    <row r="104" spans="1:74">
      <c r="N104" s="187"/>
      <c r="Q104" s="321"/>
      <c r="AZ104" s="187"/>
      <c r="BG104" s="336"/>
      <c r="BV104" s="336"/>
    </row>
    <row r="105" spans="1:74">
      <c r="E105" s="490"/>
      <c r="N105" s="187"/>
      <c r="Q105" s="321"/>
      <c r="AZ105" s="187"/>
      <c r="BG105" s="336"/>
      <c r="BV105" s="336"/>
    </row>
    <row r="106" spans="1:74">
      <c r="N106" s="187"/>
      <c r="Q106" s="321"/>
      <c r="AZ106" s="187"/>
      <c r="BG106" s="336"/>
      <c r="BV106" s="336"/>
    </row>
    <row r="107" spans="1:74">
      <c r="N107" s="187"/>
      <c r="Q107" s="321"/>
      <c r="AZ107" s="187"/>
      <c r="BG107" s="336"/>
      <c r="BV107" s="336"/>
    </row>
    <row r="108" spans="1:74">
      <c r="N108" s="187"/>
      <c r="Q108" s="321"/>
      <c r="AZ108" s="187"/>
      <c r="BG108" s="336"/>
      <c r="BV108" s="336"/>
    </row>
    <row r="109" spans="1:74">
      <c r="N109" s="187"/>
      <c r="Q109" s="321"/>
      <c r="AZ109" s="187"/>
      <c r="BG109" s="336"/>
      <c r="BV109" s="336"/>
    </row>
    <row r="110" spans="1:74">
      <c r="N110" s="187"/>
      <c r="Q110" s="321"/>
      <c r="AZ110" s="187"/>
      <c r="BG110" s="336"/>
      <c r="BV110" s="336"/>
    </row>
    <row r="111" spans="1:74">
      <c r="A111" s="44"/>
      <c r="B111" s="185"/>
      <c r="N111" s="187"/>
      <c r="Q111" s="321"/>
      <c r="AZ111" s="187"/>
      <c r="BG111" s="336"/>
      <c r="BV111" s="336"/>
    </row>
    <row r="112" spans="1:74">
      <c r="N112" s="187"/>
      <c r="Q112" s="321"/>
      <c r="AZ112" s="187"/>
      <c r="BG112" s="336"/>
      <c r="BV112" s="336"/>
    </row>
    <row r="113" spans="1:74">
      <c r="N113" s="187"/>
      <c r="Q113" s="321"/>
      <c r="AZ113" s="187"/>
      <c r="BG113" s="336"/>
      <c r="BV113" s="336"/>
    </row>
    <row r="114" spans="1:74">
      <c r="N114" s="187"/>
      <c r="Q114" s="321"/>
      <c r="AZ114" s="187"/>
      <c r="BG114" s="336"/>
      <c r="BV114" s="336"/>
    </row>
    <row r="115" spans="1:74">
      <c r="N115" s="187"/>
      <c r="Q115" s="321"/>
      <c r="AZ115" s="187"/>
      <c r="BG115" s="336"/>
      <c r="BV115" s="336"/>
    </row>
    <row r="116" spans="1:74">
      <c r="N116" s="187"/>
      <c r="Q116" s="321"/>
      <c r="AZ116" s="187"/>
      <c r="BG116" s="336"/>
      <c r="BV116" s="336"/>
    </row>
    <row r="117" spans="1:74">
      <c r="N117" s="187"/>
      <c r="Q117" s="321"/>
      <c r="AZ117" s="187"/>
      <c r="BG117" s="336"/>
      <c r="BV117" s="336"/>
    </row>
    <row r="118" spans="1:74">
      <c r="N118" s="187"/>
      <c r="Q118" s="321"/>
      <c r="AZ118" s="187"/>
      <c r="BG118" s="336"/>
      <c r="BV118" s="336"/>
    </row>
    <row r="119" spans="1:74">
      <c r="N119" s="187"/>
      <c r="Q119" s="321"/>
      <c r="AZ119" s="187"/>
      <c r="BG119" s="336"/>
      <c r="BV119" s="336"/>
    </row>
    <row r="120" spans="1:74">
      <c r="N120" s="187"/>
      <c r="Q120" s="321"/>
      <c r="AZ120" s="187"/>
      <c r="BG120" s="336"/>
      <c r="BV120" s="336"/>
    </row>
    <row r="121" spans="1:74">
      <c r="N121" s="187"/>
      <c r="Q121" s="321"/>
      <c r="AZ121" s="187"/>
      <c r="BG121" s="336"/>
      <c r="BV121" s="336"/>
    </row>
    <row r="122" spans="1:74">
      <c r="N122" s="187"/>
      <c r="Q122" s="321"/>
      <c r="AZ122" s="187"/>
      <c r="BG122" s="336"/>
      <c r="BV122" s="336"/>
    </row>
    <row r="123" spans="1:74">
      <c r="N123" s="187"/>
      <c r="Q123" s="321"/>
      <c r="AZ123" s="187"/>
      <c r="BG123" s="336"/>
      <c r="BV123" s="336"/>
    </row>
    <row r="124" spans="1:74">
      <c r="N124" s="187"/>
      <c r="Q124" s="321"/>
      <c r="AZ124" s="187"/>
      <c r="BG124" s="336"/>
      <c r="BV124" s="336"/>
    </row>
    <row r="125" spans="1:74">
      <c r="N125" s="187"/>
      <c r="Q125" s="321"/>
      <c r="AZ125" s="187"/>
      <c r="BG125" s="336"/>
      <c r="BV125" s="336"/>
    </row>
    <row r="126" spans="1:74">
      <c r="N126" s="187"/>
      <c r="Q126" s="321"/>
      <c r="AZ126" s="187"/>
      <c r="BG126" s="336"/>
      <c r="BV126" s="336"/>
    </row>
    <row r="127" spans="1:74">
      <c r="N127" s="187"/>
      <c r="Q127" s="321"/>
      <c r="AZ127" s="187"/>
      <c r="BG127" s="336"/>
      <c r="BV127" s="336"/>
    </row>
    <row r="128" spans="1:74">
      <c r="A128" s="185"/>
      <c r="N128" s="187"/>
      <c r="Q128" s="321"/>
      <c r="AZ128" s="187"/>
      <c r="BG128" s="336"/>
      <c r="BV128" s="336"/>
    </row>
    <row r="129" spans="1:74">
      <c r="A129" s="185"/>
      <c r="N129" s="187"/>
      <c r="Q129" s="321"/>
      <c r="AZ129" s="187"/>
      <c r="BG129" s="336"/>
      <c r="BV129" s="336"/>
    </row>
    <row r="130" spans="1:74">
      <c r="A130" s="185"/>
      <c r="B130" s="185"/>
      <c r="N130" s="187"/>
      <c r="Q130" s="321"/>
      <c r="AZ130" s="187"/>
      <c r="BG130" s="336"/>
      <c r="BV130" s="336"/>
    </row>
    <row r="131" spans="1:74">
      <c r="N131" s="187"/>
      <c r="Q131" s="321"/>
      <c r="AZ131" s="187"/>
      <c r="BG131" s="336"/>
      <c r="BV131" s="336"/>
    </row>
    <row r="132" spans="1:74">
      <c r="A132" s="185"/>
      <c r="B132" s="185"/>
      <c r="N132" s="187"/>
      <c r="Q132" s="321"/>
      <c r="AZ132" s="187"/>
      <c r="BG132" s="336"/>
      <c r="BV132" s="336"/>
    </row>
    <row r="133" spans="1:74">
      <c r="N133" s="187"/>
      <c r="Q133" s="321"/>
      <c r="AZ133" s="187"/>
      <c r="BG133" s="336"/>
      <c r="BV133" s="336"/>
    </row>
    <row r="134" spans="1:74">
      <c r="A134" s="185"/>
      <c r="B134" s="185"/>
      <c r="N134" s="187"/>
      <c r="Q134" s="321"/>
      <c r="AZ134" s="187"/>
      <c r="BG134" s="336"/>
      <c r="BV134" s="336"/>
    </row>
    <row r="135" spans="1:74">
      <c r="N135" s="187"/>
      <c r="Q135" s="321"/>
      <c r="AZ135" s="187"/>
      <c r="BG135" s="336"/>
      <c r="BV135" s="336"/>
    </row>
    <row r="136" spans="1:74">
      <c r="A136" s="185"/>
      <c r="B136" s="185"/>
      <c r="N136" s="187"/>
      <c r="Q136" s="321"/>
      <c r="AZ136" s="187"/>
      <c r="BG136" s="336"/>
      <c r="BV136" s="336"/>
    </row>
    <row r="137" spans="1:74">
      <c r="N137" s="187"/>
      <c r="Q137" s="321"/>
      <c r="AZ137" s="187"/>
      <c r="BG137" s="336"/>
      <c r="BV137" s="336"/>
    </row>
    <row r="138" spans="1:74">
      <c r="A138" s="185"/>
      <c r="B138" s="185"/>
      <c r="N138" s="187"/>
      <c r="Q138" s="321"/>
      <c r="AZ138" s="187"/>
      <c r="BG138" s="336"/>
      <c r="BV138" s="336"/>
    </row>
    <row r="139" spans="1:74">
      <c r="N139" s="187"/>
      <c r="Q139" s="321"/>
      <c r="AZ139" s="187"/>
      <c r="BG139" s="336"/>
      <c r="BV139" s="336"/>
    </row>
    <row r="140" spans="1:74">
      <c r="A140" s="185"/>
      <c r="B140" s="185"/>
      <c r="N140" s="187"/>
      <c r="Q140" s="321"/>
      <c r="AZ140" s="187"/>
      <c r="BG140" s="336"/>
      <c r="BV140" s="336"/>
    </row>
    <row r="141" spans="1:74">
      <c r="N141" s="187"/>
      <c r="Q141" s="321"/>
      <c r="AZ141" s="187"/>
      <c r="BG141" s="336"/>
      <c r="BV141" s="336"/>
    </row>
    <row r="142" spans="1:74">
      <c r="A142" s="185"/>
      <c r="B142" s="185"/>
      <c r="N142" s="187"/>
      <c r="Q142" s="321"/>
      <c r="AZ142" s="187"/>
      <c r="BG142" s="336"/>
      <c r="BV142" s="336"/>
    </row>
    <row r="143" spans="1:74">
      <c r="N143" s="187"/>
      <c r="Q143" s="321"/>
      <c r="AZ143" s="187"/>
      <c r="BG143" s="336"/>
      <c r="BV143" s="336"/>
    </row>
    <row r="144" spans="1:74">
      <c r="A144" s="185"/>
      <c r="B144" s="185"/>
      <c r="N144" s="187"/>
      <c r="Q144" s="321"/>
      <c r="AZ144" s="187"/>
      <c r="BG144" s="336"/>
      <c r="BV144" s="336"/>
    </row>
    <row r="145" spans="1:74">
      <c r="N145" s="187"/>
      <c r="Q145" s="321"/>
      <c r="AZ145" s="187"/>
      <c r="BG145" s="336"/>
      <c r="BV145" s="336"/>
    </row>
    <row r="146" spans="1:74">
      <c r="N146" s="187"/>
      <c r="Q146" s="321"/>
      <c r="AZ146" s="187"/>
      <c r="BG146" s="336"/>
      <c r="BV146" s="336"/>
    </row>
    <row r="147" spans="1:74">
      <c r="N147" s="187"/>
      <c r="Q147" s="321"/>
      <c r="AZ147" s="187"/>
      <c r="BG147" s="336"/>
      <c r="BV147" s="336"/>
    </row>
    <row r="148" spans="1:74">
      <c r="A148" s="185"/>
      <c r="N148" s="187"/>
      <c r="Q148" s="321"/>
      <c r="AZ148" s="187"/>
      <c r="BG148" s="336"/>
      <c r="BV148" s="336"/>
    </row>
    <row r="149" spans="1:74">
      <c r="A149" s="185"/>
      <c r="N149" s="187"/>
      <c r="Q149" s="321"/>
      <c r="AZ149" s="187"/>
      <c r="BG149" s="336"/>
      <c r="BV149" s="336"/>
    </row>
    <row r="150" spans="1:74">
      <c r="A150" s="185"/>
      <c r="B150" s="185"/>
      <c r="N150" s="187"/>
      <c r="Q150" s="321"/>
      <c r="AZ150" s="187"/>
      <c r="BG150" s="336"/>
      <c r="BV150" s="336"/>
    </row>
    <row r="151" spans="1:74">
      <c r="B151" s="185"/>
      <c r="N151" s="187"/>
      <c r="Q151" s="321"/>
      <c r="AZ151" s="187"/>
      <c r="BG151" s="336"/>
      <c r="BV151" s="336"/>
    </row>
    <row r="152" spans="1:74">
      <c r="B152" s="185"/>
      <c r="N152" s="187"/>
      <c r="Q152" s="321"/>
      <c r="AZ152" s="187"/>
      <c r="BG152" s="336"/>
      <c r="BV152" s="336"/>
    </row>
    <row r="153" spans="1:74">
      <c r="B153" s="185"/>
      <c r="N153" s="187"/>
      <c r="Q153" s="321"/>
      <c r="AZ153" s="187"/>
      <c r="BG153" s="336"/>
      <c r="BV153" s="336"/>
    </row>
    <row r="154" spans="1:74">
      <c r="B154" s="185"/>
      <c r="N154" s="187"/>
      <c r="Q154" s="321"/>
      <c r="AZ154" s="187"/>
      <c r="BG154" s="336"/>
      <c r="BV154" s="336"/>
    </row>
    <row r="155" spans="1:74">
      <c r="B155" s="185"/>
      <c r="N155" s="187"/>
      <c r="Q155" s="321"/>
      <c r="AZ155" s="187"/>
      <c r="BG155" s="336"/>
      <c r="BV155" s="336"/>
    </row>
    <row r="156" spans="1:74">
      <c r="B156" s="185"/>
      <c r="N156" s="187"/>
      <c r="Q156" s="321"/>
      <c r="AZ156" s="187"/>
      <c r="BG156" s="336"/>
      <c r="BV156" s="336"/>
    </row>
    <row r="157" spans="1:74">
      <c r="B157" s="185"/>
      <c r="N157" s="187"/>
      <c r="Q157" s="321"/>
      <c r="AZ157" s="187"/>
      <c r="BG157" s="336"/>
      <c r="BV157" s="336"/>
    </row>
    <row r="158" spans="1:74">
      <c r="N158" s="187"/>
      <c r="Q158" s="321"/>
      <c r="AZ158" s="187"/>
      <c r="BG158" s="336"/>
      <c r="BV158" s="336"/>
    </row>
    <row r="159" spans="1:74">
      <c r="N159" s="187"/>
      <c r="Q159" s="321"/>
      <c r="AZ159" s="187"/>
      <c r="BG159" s="336"/>
      <c r="BV159" s="336"/>
    </row>
    <row r="160" spans="1:74">
      <c r="N160" s="187"/>
      <c r="Q160" s="321"/>
      <c r="AZ160" s="187"/>
      <c r="BG160" s="336"/>
      <c r="BV160" s="336"/>
    </row>
    <row r="161" spans="1:74">
      <c r="A161" s="185"/>
      <c r="B161" s="185"/>
      <c r="N161" s="187"/>
      <c r="Q161" s="321"/>
      <c r="AZ161" s="187"/>
      <c r="BG161" s="336"/>
      <c r="BV161" s="336"/>
    </row>
    <row r="162" spans="1:74">
      <c r="B162" s="185"/>
      <c r="N162" s="187"/>
      <c r="Q162" s="321"/>
      <c r="AZ162" s="187"/>
      <c r="BG162" s="336"/>
      <c r="BV162" s="336"/>
    </row>
    <row r="163" spans="1:74">
      <c r="N163" s="187"/>
      <c r="Q163" s="321"/>
      <c r="AZ163" s="187"/>
      <c r="BG163" s="336"/>
      <c r="BV163" s="336"/>
    </row>
    <row r="164" spans="1:74">
      <c r="N164" s="187"/>
      <c r="Q164" s="321"/>
      <c r="AZ164" s="187"/>
      <c r="BG164" s="336"/>
      <c r="BV164" s="336"/>
    </row>
    <row r="165" spans="1:74">
      <c r="N165" s="187"/>
      <c r="Q165" s="321"/>
      <c r="AZ165" s="187"/>
      <c r="BG165" s="336"/>
      <c r="BV165" s="336"/>
    </row>
    <row r="166" spans="1:74">
      <c r="N166" s="187"/>
      <c r="Q166" s="321"/>
      <c r="AZ166" s="187"/>
      <c r="BG166" s="336"/>
      <c r="BV166" s="336"/>
    </row>
    <row r="167" spans="1:74">
      <c r="N167" s="187"/>
      <c r="Q167" s="321"/>
      <c r="AZ167" s="187"/>
      <c r="BG167" s="336"/>
      <c r="BV167" s="336"/>
    </row>
    <row r="168" spans="1:74">
      <c r="A168" s="185"/>
      <c r="N168" s="187"/>
      <c r="Q168" s="321"/>
      <c r="AZ168" s="187"/>
      <c r="BG168" s="336"/>
      <c r="BV168" s="336"/>
    </row>
    <row r="169" spans="1:74">
      <c r="A169" s="185"/>
      <c r="N169" s="187"/>
      <c r="Q169" s="321"/>
      <c r="AZ169" s="187"/>
      <c r="BG169" s="336"/>
      <c r="BV169" s="336"/>
    </row>
    <row r="170" spans="1:74">
      <c r="A170" s="185"/>
      <c r="B170" s="185"/>
      <c r="N170" s="187"/>
      <c r="Q170" s="321"/>
      <c r="AZ170" s="187"/>
      <c r="BG170" s="336"/>
      <c r="BV170" s="336"/>
    </row>
    <row r="171" spans="1:74">
      <c r="B171" s="185"/>
      <c r="N171" s="187"/>
      <c r="Q171" s="321"/>
      <c r="AZ171" s="187"/>
      <c r="BG171" s="336"/>
      <c r="BV171" s="336"/>
    </row>
    <row r="172" spans="1:74">
      <c r="A172" s="185"/>
      <c r="B172" s="185"/>
      <c r="N172" s="187"/>
      <c r="Q172" s="321"/>
      <c r="AZ172" s="187"/>
      <c r="BG172" s="336"/>
      <c r="BV172" s="336"/>
    </row>
    <row r="173" spans="1:74">
      <c r="AZ173" s="187"/>
      <c r="BC173" s="336"/>
    </row>
    <row r="174" spans="1:74">
      <c r="AZ174" s="187"/>
      <c r="BC174" s="336"/>
    </row>
    <row r="175" spans="1:74">
      <c r="AZ175" s="187"/>
      <c r="BC175" s="336"/>
    </row>
    <row r="176" spans="1:74">
      <c r="AZ176" s="187"/>
      <c r="BC176" s="336"/>
    </row>
    <row r="177" spans="55:55" s="187" customFormat="1">
      <c r="BC177" s="336"/>
    </row>
    <row r="178" spans="55:55" s="187" customFormat="1">
      <c r="BC178" s="336"/>
    </row>
    <row r="179" spans="55:55" s="187" customFormat="1">
      <c r="BC179" s="336"/>
    </row>
    <row r="180" spans="55:55" s="187" customFormat="1">
      <c r="BC180" s="336"/>
    </row>
    <row r="181" spans="55:55" s="187" customFormat="1">
      <c r="BC181" s="336"/>
    </row>
    <row r="182" spans="55:55" s="187" customFormat="1">
      <c r="BC182" s="336"/>
    </row>
    <row r="183" spans="55:55" s="187" customFormat="1">
      <c r="BC183" s="336"/>
    </row>
    <row r="184" spans="55:55" s="187" customFormat="1">
      <c r="BC184" s="336"/>
    </row>
    <row r="185" spans="55:55" s="187" customFormat="1">
      <c r="BC185" s="336"/>
    </row>
    <row r="186" spans="55:55" s="187" customFormat="1">
      <c r="BC186" s="336"/>
    </row>
    <row r="187" spans="55:55" s="187" customFormat="1">
      <c r="BC187" s="336"/>
    </row>
    <row r="188" spans="55:55" s="187" customFormat="1">
      <c r="BC188" s="336"/>
    </row>
    <row r="189" spans="55:55" s="187" customFormat="1">
      <c r="BC189" s="336"/>
    </row>
    <row r="190" spans="55:55" s="187" customFormat="1">
      <c r="BC190" s="336"/>
    </row>
    <row r="191" spans="55:55" s="187" customFormat="1">
      <c r="BC191" s="336"/>
    </row>
    <row r="192" spans="55:55" s="187" customFormat="1">
      <c r="BC192" s="336"/>
    </row>
    <row r="193" spans="55:55" s="187" customFormat="1">
      <c r="BC193" s="336"/>
    </row>
    <row r="194" spans="55:55" s="187" customFormat="1">
      <c r="BC194" s="336"/>
    </row>
    <row r="195" spans="55:55" s="187" customFormat="1">
      <c r="BC195" s="336"/>
    </row>
    <row r="196" spans="55:55" s="187" customFormat="1">
      <c r="BC196" s="336"/>
    </row>
    <row r="197" spans="55:55" s="187" customFormat="1">
      <c r="BC197" s="336"/>
    </row>
    <row r="198" spans="55:55" s="187" customFormat="1">
      <c r="BC198" s="336"/>
    </row>
    <row r="199" spans="55:55" s="187" customFormat="1">
      <c r="BC199" s="336"/>
    </row>
    <row r="200" spans="55:55" s="187" customFormat="1">
      <c r="BC200" s="336"/>
    </row>
    <row r="201" spans="55:55" s="187" customFormat="1">
      <c r="BC201" s="336"/>
    </row>
    <row r="202" spans="55:55" s="187" customFormat="1">
      <c r="BC202" s="336"/>
    </row>
    <row r="203" spans="55:55" s="187" customFormat="1">
      <c r="BC203" s="336"/>
    </row>
    <row r="204" spans="55:55" s="187" customFormat="1">
      <c r="BC204" s="336"/>
    </row>
    <row r="205" spans="55:55" s="187" customFormat="1">
      <c r="BC205" s="336"/>
    </row>
    <row r="206" spans="55:55" s="187" customFormat="1">
      <c r="BC206" s="336"/>
    </row>
    <row r="207" spans="55:55" s="187" customFormat="1">
      <c r="BC207" s="336"/>
    </row>
    <row r="208" spans="55:55" s="187" customFormat="1">
      <c r="BC208" s="336"/>
    </row>
    <row r="209" spans="55:55" s="187" customFormat="1">
      <c r="BC209" s="336"/>
    </row>
    <row r="210" spans="55:55" s="187" customFormat="1">
      <c r="BC210" s="336"/>
    </row>
    <row r="211" spans="55:55" s="187" customFormat="1">
      <c r="BC211" s="336"/>
    </row>
    <row r="212" spans="55:55" s="187" customFormat="1">
      <c r="BC212" s="336"/>
    </row>
    <row r="213" spans="55:55" s="187" customFormat="1">
      <c r="BC213" s="336"/>
    </row>
    <row r="214" spans="55:55" s="187" customFormat="1">
      <c r="BC214" s="336"/>
    </row>
  </sheetData>
  <printOptions horizontalCentered="1" gridLinesSet="0"/>
  <pageMargins left="0.25" right="0.25" top="0.7" bottom="0.37" header="0.5" footer="0.17"/>
  <pageSetup scale="83" orientation="landscape" r:id="rId1"/>
  <headerFooter alignWithMargins="0">
    <oddFooter>&amp;C&amp;P</oddFooter>
  </headerFooter>
  <colBreaks count="5" manualBreakCount="5">
    <brk id="9" max="51" man="1"/>
    <brk id="29" max="51" man="1"/>
    <brk id="41" max="51" man="1"/>
    <brk id="58" max="51" man="1"/>
    <brk id="73" max="51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214"/>
  <sheetViews>
    <sheetView showGridLines="0" topLeftCell="AM1" workbookViewId="0">
      <selection activeCell="BW45" sqref="BW45"/>
    </sheetView>
  </sheetViews>
  <sheetFormatPr defaultColWidth="10.6640625" defaultRowHeight="13.2"/>
  <cols>
    <col min="1" max="1" width="29.33203125" style="187" customWidth="1"/>
    <col min="2" max="2" width="11.109375" style="187" customWidth="1"/>
    <col min="3" max="3" width="13" style="187" customWidth="1"/>
    <col min="4" max="4" width="4.6640625" style="187" customWidth="1"/>
    <col min="5" max="5" width="44.88671875" style="187" customWidth="1"/>
    <col min="6" max="6" width="9.109375" style="187" bestFit="1" customWidth="1"/>
    <col min="7" max="8" width="11.6640625" style="187" bestFit="1" customWidth="1"/>
    <col min="9" max="9" width="3.6640625" style="187" customWidth="1"/>
    <col min="10" max="10" width="2.88671875" style="187" customWidth="1"/>
    <col min="11" max="11" width="4" style="187" customWidth="1"/>
    <col min="12" max="12" width="10.33203125" style="187" customWidth="1"/>
    <col min="13" max="13" width="9" style="187" customWidth="1"/>
    <col min="14" max="14" width="10.44140625" style="321" bestFit="1" customWidth="1"/>
    <col min="15" max="15" width="10.44140625" style="187" bestFit="1" customWidth="1"/>
    <col min="16" max="17" width="7.6640625" style="187" bestFit="1" customWidth="1"/>
    <col min="18" max="18" width="7.44140625" style="187" bestFit="1" customWidth="1"/>
    <col min="19" max="19" width="9.33203125" style="187" bestFit="1" customWidth="1"/>
    <col min="20" max="20" width="7.88671875" style="187" bestFit="1" customWidth="1"/>
    <col min="21" max="22" width="9.109375" style="187" bestFit="1" customWidth="1"/>
    <col min="23" max="23" width="10.33203125" style="187" bestFit="1" customWidth="1"/>
    <col min="24" max="24" width="8.88671875" style="187" customWidth="1"/>
    <col min="25" max="25" width="8" style="187" bestFit="1" customWidth="1"/>
    <col min="26" max="26" width="8.109375" style="187" bestFit="1" customWidth="1"/>
    <col min="27" max="27" width="9.33203125" style="187" customWidth="1"/>
    <col min="28" max="28" width="9.109375" style="187" bestFit="1" customWidth="1"/>
    <col min="29" max="29" width="1.109375" style="187" customWidth="1"/>
    <col min="30" max="30" width="2.88671875" style="187" customWidth="1"/>
    <col min="31" max="31" width="7.88671875" style="187" customWidth="1"/>
    <col min="32" max="32" width="12.6640625" style="187" customWidth="1"/>
    <col min="33" max="33" width="10.109375" style="187" customWidth="1"/>
    <col min="34" max="34" width="9.109375" style="187" bestFit="1" customWidth="1"/>
    <col min="35" max="35" width="2.6640625" style="187" customWidth="1"/>
    <col min="36" max="36" width="8" style="187" bestFit="1" customWidth="1"/>
    <col min="37" max="37" width="8.109375" style="187" bestFit="1" customWidth="1"/>
    <col min="38" max="38" width="9.5546875" style="187" customWidth="1"/>
    <col min="39" max="39" width="2.6640625" style="187" customWidth="1"/>
    <col min="40" max="40" width="9.109375" style="187" bestFit="1" customWidth="1"/>
    <col min="41" max="41" width="3.88671875" style="187" customWidth="1"/>
    <col min="42" max="42" width="3.33203125" style="187" customWidth="1"/>
    <col min="43" max="43" width="7.88671875" style="187" customWidth="1"/>
    <col min="44" max="44" width="8.44140625" style="187" bestFit="1" customWidth="1"/>
    <col min="45" max="45" width="9.109375" style="187" bestFit="1" customWidth="1"/>
    <col min="46" max="47" width="8.33203125" style="187" bestFit="1" customWidth="1"/>
    <col min="48" max="49" width="12.5546875" style="187" bestFit="1" customWidth="1"/>
    <col min="50" max="50" width="11.109375" style="187" hidden="1" customWidth="1"/>
    <col min="51" max="51" width="2.6640625" style="187" hidden="1" customWidth="1"/>
    <col min="52" max="52" width="10.109375" style="336" customWidth="1"/>
    <col min="53" max="53" width="2.6640625" style="187" customWidth="1"/>
    <col min="54" max="54" width="8.109375" style="187" bestFit="1" customWidth="1"/>
    <col min="55" max="55" width="11.109375" style="187" bestFit="1" customWidth="1"/>
    <col min="56" max="56" width="8.109375" style="187" bestFit="1" customWidth="1"/>
    <col min="57" max="57" width="9.109375" style="187" bestFit="1" customWidth="1"/>
    <col min="58" max="58" width="3.6640625" style="187" customWidth="1"/>
    <col min="59" max="59" width="2.88671875" style="187" customWidth="1"/>
    <col min="60" max="60" width="9.88671875" style="187" customWidth="1"/>
    <col min="61" max="61" width="9.88671875" style="187" bestFit="1" customWidth="1"/>
    <col min="62" max="62" width="9.33203125" style="187" bestFit="1" customWidth="1"/>
    <col min="63" max="63" width="8.109375" style="187" bestFit="1" customWidth="1"/>
    <col min="64" max="64" width="7.44140625" style="187" bestFit="1" customWidth="1"/>
    <col min="65" max="65" width="10.109375" style="187" bestFit="1" customWidth="1"/>
    <col min="66" max="66" width="8.33203125" style="187" bestFit="1" customWidth="1"/>
    <col min="67" max="67" width="10.88671875" style="187" hidden="1" customWidth="1"/>
    <col min="68" max="68" width="9.109375" style="187" bestFit="1" customWidth="1"/>
    <col min="69" max="69" width="2.6640625" style="187" customWidth="1"/>
    <col min="70" max="70" width="9.88671875" style="187" bestFit="1" customWidth="1"/>
    <col min="71" max="71" width="2.6640625" style="187" customWidth="1"/>
    <col min="72" max="72" width="9.109375" style="187" bestFit="1" customWidth="1"/>
    <col min="73" max="73" width="3.6640625" style="187" customWidth="1"/>
    <col min="74" max="74" width="3.5546875" style="187" customWidth="1"/>
    <col min="75" max="75" width="7.33203125" style="187" customWidth="1"/>
    <col min="76" max="76" width="9.88671875" style="187" bestFit="1" customWidth="1"/>
    <col min="77" max="77" width="9.88671875" style="187" customWidth="1"/>
    <col min="78" max="78" width="8.33203125" style="187" bestFit="1" customWidth="1"/>
    <col min="79" max="79" width="9.109375" style="187" bestFit="1" customWidth="1"/>
    <col min="80" max="80" width="2.6640625" style="187" customWidth="1"/>
    <col min="81" max="81" width="8.109375" style="187" bestFit="1" customWidth="1"/>
    <col min="82" max="82" width="11.109375" style="187" bestFit="1" customWidth="1"/>
    <col min="83" max="83" width="8.109375" style="187" bestFit="1" customWidth="1"/>
    <col min="84" max="84" width="2.6640625" style="187" customWidth="1"/>
    <col min="85" max="85" width="9.109375" style="187" bestFit="1" customWidth="1"/>
    <col min="86" max="86" width="8.6640625" style="187" customWidth="1"/>
    <col min="87" max="88" width="10.6640625" style="187" customWidth="1"/>
    <col min="89" max="89" width="1.6640625" style="187" customWidth="1"/>
    <col min="90" max="93" width="8.6640625" style="187" customWidth="1"/>
    <col min="94" max="94" width="1.6640625" style="187" customWidth="1"/>
    <col min="95" max="95" width="9.6640625" style="187" customWidth="1"/>
    <col min="96" max="96" width="2.6640625" style="187" customWidth="1"/>
    <col min="97" max="97" width="10.6640625" style="187" customWidth="1"/>
    <col min="98" max="98" width="8.6640625" style="187" customWidth="1"/>
    <col min="99" max="99" width="9.6640625" style="187" customWidth="1"/>
    <col min="100" max="246" width="8.6640625" style="187" customWidth="1"/>
    <col min="247" max="16384" width="10.6640625" style="187"/>
  </cols>
  <sheetData>
    <row r="1" spans="1:106">
      <c r="A1" s="55" t="s">
        <v>109</v>
      </c>
      <c r="B1" s="55"/>
      <c r="C1" s="56"/>
      <c r="D1" s="55"/>
      <c r="E1" s="56"/>
      <c r="F1" s="55"/>
      <c r="G1" s="55"/>
      <c r="H1" s="332"/>
      <c r="K1" s="1" t="s">
        <v>1</v>
      </c>
      <c r="M1" s="333"/>
      <c r="N1" s="187"/>
      <c r="R1" s="321"/>
      <c r="T1" s="185"/>
      <c r="U1" s="185"/>
      <c r="AD1" s="1" t="s">
        <v>2</v>
      </c>
      <c r="AF1" s="333"/>
      <c r="AG1" s="185"/>
      <c r="AP1" s="1" t="s">
        <v>3</v>
      </c>
      <c r="AR1" s="333"/>
      <c r="AZ1" s="187"/>
      <c r="BC1" s="334"/>
      <c r="BG1" s="1" t="s">
        <v>4</v>
      </c>
      <c r="BJ1" s="185"/>
      <c r="BV1" s="1" t="s">
        <v>215</v>
      </c>
      <c r="BY1" s="185"/>
    </row>
    <row r="2" spans="1:106">
      <c r="A2" s="56" t="s">
        <v>108</v>
      </c>
      <c r="B2" s="55"/>
      <c r="C2" s="55"/>
      <c r="D2" s="55"/>
      <c r="E2" s="55"/>
      <c r="F2" s="55"/>
      <c r="G2" s="55"/>
      <c r="H2" s="332"/>
      <c r="K2" s="1" t="s">
        <v>5</v>
      </c>
      <c r="N2" s="187"/>
      <c r="R2" s="321"/>
      <c r="T2" s="185"/>
      <c r="U2" s="185"/>
      <c r="AD2" s="1" t="s">
        <v>6</v>
      </c>
      <c r="AG2" s="185"/>
      <c r="AP2" s="1" t="s">
        <v>7</v>
      </c>
      <c r="AZ2" s="187"/>
      <c r="BC2" s="334"/>
      <c r="BD2" s="334"/>
      <c r="BG2" s="1" t="s">
        <v>8</v>
      </c>
      <c r="BJ2" s="185"/>
      <c r="BO2" s="185"/>
      <c r="BV2" s="1" t="s">
        <v>216</v>
      </c>
      <c r="BY2" s="185"/>
    </row>
    <row r="3" spans="1:106">
      <c r="B3" s="335"/>
      <c r="C3" s="335"/>
      <c r="N3" s="187"/>
      <c r="R3" s="321"/>
      <c r="AZ3" s="187"/>
      <c r="BD3" s="334"/>
      <c r="BG3" s="336"/>
      <c r="BO3" s="185"/>
      <c r="BV3" s="336"/>
    </row>
    <row r="4" spans="1:106">
      <c r="A4" s="337" t="s">
        <v>9</v>
      </c>
      <c r="B4" s="7" t="s">
        <v>94</v>
      </c>
      <c r="K4" s="185" t="s">
        <v>9</v>
      </c>
      <c r="M4" s="10" t="str">
        <f>B4</f>
        <v>Montana-Dakota Utilities Co.</v>
      </c>
      <c r="N4" s="187"/>
      <c r="R4" s="321"/>
      <c r="S4" s="166"/>
      <c r="AD4" s="185" t="s">
        <v>9</v>
      </c>
      <c r="AF4" s="10" t="str">
        <f>B4</f>
        <v>Montana-Dakota Utilities Co.</v>
      </c>
      <c r="AP4" s="185" t="s">
        <v>11</v>
      </c>
      <c r="AR4" s="10" t="str">
        <f>AF4</f>
        <v>Montana-Dakota Utilities Co.</v>
      </c>
      <c r="AZ4" s="187"/>
      <c r="BH4" s="338" t="s">
        <v>11</v>
      </c>
      <c r="BI4" s="10" t="str">
        <f>AR4</f>
        <v>Montana-Dakota Utilities Co.</v>
      </c>
      <c r="BW4" s="338" t="s">
        <v>11</v>
      </c>
      <c r="BX4" s="10" t="str">
        <f>BI4</f>
        <v>Montana-Dakota Utilities Co.</v>
      </c>
    </row>
    <row r="5" spans="1:106">
      <c r="A5" s="337" t="s">
        <v>10</v>
      </c>
      <c r="B5" s="9" t="s">
        <v>318</v>
      </c>
      <c r="K5" s="185" t="s">
        <v>10</v>
      </c>
      <c r="M5" s="10" t="str">
        <f>$B$5</f>
        <v>Commercial Custom Program</v>
      </c>
      <c r="N5" s="187"/>
      <c r="R5" s="321"/>
      <c r="AD5" s="185" t="s">
        <v>10</v>
      </c>
      <c r="AF5" s="10" t="str">
        <f>$B$5</f>
        <v>Commercial Custom Program</v>
      </c>
      <c r="AP5" s="185" t="s">
        <v>12</v>
      </c>
      <c r="AR5" s="10" t="str">
        <f>$B$5</f>
        <v>Commercial Custom Program</v>
      </c>
      <c r="AZ5" s="187"/>
      <c r="BH5" s="338" t="s">
        <v>12</v>
      </c>
      <c r="BI5" s="10" t="str">
        <f>$B$5</f>
        <v>Commercial Custom Program</v>
      </c>
      <c r="BW5" s="338" t="s">
        <v>12</v>
      </c>
      <c r="BX5" s="10" t="str">
        <f>$B$5</f>
        <v>Commercial Custom Program</v>
      </c>
    </row>
    <row r="6" spans="1:106">
      <c r="A6" s="337" t="s">
        <v>200</v>
      </c>
      <c r="B6" s="312" t="s">
        <v>346</v>
      </c>
      <c r="N6" s="187"/>
      <c r="R6" s="321"/>
      <c r="AZ6" s="187"/>
      <c r="BG6" s="336"/>
      <c r="BV6" s="336"/>
    </row>
    <row r="7" spans="1:106">
      <c r="M7" s="339"/>
      <c r="N7" s="47" t="s">
        <v>14</v>
      </c>
      <c r="O7" s="48"/>
      <c r="P7" s="48"/>
      <c r="Q7" s="48"/>
      <c r="R7" s="114"/>
      <c r="S7" s="48"/>
      <c r="T7" s="48"/>
      <c r="U7" s="48"/>
      <c r="V7" s="48"/>
      <c r="W7" s="339"/>
      <c r="X7" s="88" t="s">
        <v>15</v>
      </c>
      <c r="Y7" s="88"/>
      <c r="Z7" s="340"/>
      <c r="AA7" s="341"/>
      <c r="AB7" s="167"/>
      <c r="AC7" s="339"/>
      <c r="AD7" s="339"/>
      <c r="AE7" s="339"/>
      <c r="AF7" s="47" t="s">
        <v>14</v>
      </c>
      <c r="AG7" s="342"/>
      <c r="AH7" s="342"/>
      <c r="AI7" s="339"/>
      <c r="AJ7" s="88" t="s">
        <v>15</v>
      </c>
      <c r="AK7" s="88"/>
      <c r="AL7" s="88"/>
      <c r="AM7" s="339"/>
      <c r="AN7" s="343" t="s">
        <v>81</v>
      </c>
      <c r="AO7" s="339"/>
      <c r="AP7" s="339"/>
      <c r="AQ7" s="339"/>
      <c r="AR7" s="47" t="s">
        <v>14</v>
      </c>
      <c r="AS7" s="48"/>
      <c r="AT7" s="48"/>
      <c r="AU7" s="48"/>
      <c r="AV7" s="48"/>
      <c r="AW7" s="48"/>
      <c r="AX7" s="48"/>
      <c r="AY7" s="48"/>
      <c r="AZ7" s="48"/>
      <c r="BA7" s="339"/>
      <c r="BB7" s="88" t="s">
        <v>15</v>
      </c>
      <c r="BC7" s="88"/>
      <c r="BD7" s="89"/>
      <c r="BE7" s="75" t="s">
        <v>81</v>
      </c>
      <c r="BF7" s="339"/>
      <c r="BG7" s="198"/>
      <c r="BH7" s="339"/>
      <c r="BI7" s="47" t="s">
        <v>14</v>
      </c>
      <c r="BJ7" s="344"/>
      <c r="BK7" s="344"/>
      <c r="BL7" s="344"/>
      <c r="BM7" s="344"/>
      <c r="BN7" s="344"/>
      <c r="BO7" s="344"/>
      <c r="BP7" s="344"/>
      <c r="BQ7" s="339"/>
      <c r="BR7" s="126" t="s">
        <v>15</v>
      </c>
      <c r="BS7" s="125" t="s">
        <v>81</v>
      </c>
      <c r="BT7" s="339"/>
      <c r="BU7" s="339"/>
      <c r="BV7" s="198"/>
      <c r="BW7" s="339"/>
      <c r="BX7" s="47" t="s">
        <v>14</v>
      </c>
      <c r="BY7" s="344"/>
      <c r="BZ7" s="344"/>
      <c r="CA7" s="344"/>
      <c r="CB7" s="339"/>
      <c r="CC7" s="88" t="s">
        <v>15</v>
      </c>
      <c r="CD7" s="88"/>
      <c r="CE7" s="88"/>
      <c r="CF7" s="125" t="s">
        <v>81</v>
      </c>
      <c r="CG7" s="339"/>
    </row>
    <row r="8" spans="1:106">
      <c r="A8" s="345" t="s">
        <v>13</v>
      </c>
      <c r="B8" s="345"/>
      <c r="C8" s="346"/>
      <c r="E8" s="345"/>
      <c r="F8" s="184">
        <v>2014</v>
      </c>
      <c r="G8" s="184"/>
      <c r="H8" s="184"/>
      <c r="L8" s="339"/>
      <c r="M8" s="347"/>
      <c r="N8" s="347"/>
      <c r="O8" s="339"/>
      <c r="Q8" s="347"/>
      <c r="R8" s="348"/>
      <c r="S8" s="347"/>
      <c r="T8" s="347"/>
      <c r="U8" s="347"/>
      <c r="V8" s="347"/>
      <c r="W8" s="347"/>
      <c r="X8" s="347"/>
      <c r="Z8" s="347"/>
      <c r="AA8" s="167"/>
      <c r="AB8" s="167" t="s">
        <v>17</v>
      </c>
      <c r="AC8" s="339"/>
      <c r="AD8" s="339"/>
      <c r="AE8" s="339"/>
      <c r="AF8" s="347"/>
      <c r="AG8" s="347"/>
      <c r="AH8" s="347"/>
      <c r="AI8" s="339"/>
      <c r="AL8" s="339"/>
      <c r="AM8" s="347"/>
      <c r="AN8" s="167" t="s">
        <v>17</v>
      </c>
      <c r="AO8" s="339"/>
      <c r="AP8" s="339"/>
      <c r="AQ8" s="339"/>
      <c r="AR8" s="339"/>
      <c r="AS8" s="339"/>
      <c r="AT8" s="167" t="s">
        <v>24</v>
      </c>
      <c r="AU8" s="347"/>
      <c r="AV8" s="336"/>
      <c r="AW8" s="347"/>
      <c r="AX8" s="349"/>
      <c r="AY8" s="350"/>
      <c r="AZ8" s="347"/>
      <c r="BA8" s="347"/>
      <c r="BB8" s="347"/>
      <c r="BC8" s="347"/>
      <c r="BD8" s="347"/>
      <c r="BE8" s="167" t="s">
        <v>17</v>
      </c>
      <c r="BF8" s="339"/>
      <c r="BG8" s="198"/>
      <c r="BH8" s="167"/>
      <c r="BI8" s="167"/>
      <c r="BJ8" s="339"/>
      <c r="BK8" s="339"/>
      <c r="BL8" s="339"/>
      <c r="BN8" s="339"/>
      <c r="BO8" s="339"/>
      <c r="BP8" s="339"/>
      <c r="BQ8" s="339"/>
      <c r="BR8" s="339"/>
      <c r="BS8" s="339"/>
      <c r="BT8" s="167" t="s">
        <v>17</v>
      </c>
      <c r="BU8" s="339"/>
      <c r="BV8" s="198"/>
      <c r="BW8" s="167"/>
      <c r="BX8" s="167"/>
      <c r="BY8" s="339"/>
      <c r="BZ8" s="339"/>
      <c r="CA8" s="339"/>
      <c r="CB8" s="339"/>
      <c r="CC8" s="339"/>
      <c r="CD8" s="339"/>
      <c r="CE8" s="339"/>
      <c r="CF8" s="339"/>
      <c r="CG8" s="167" t="s">
        <v>17</v>
      </c>
      <c r="DA8" s="351"/>
      <c r="DB8" s="351"/>
    </row>
    <row r="9" spans="1:106">
      <c r="A9" s="185"/>
      <c r="E9" s="185"/>
      <c r="L9" s="339"/>
      <c r="M9" s="167" t="s">
        <v>20</v>
      </c>
      <c r="N9" s="167" t="s">
        <v>23</v>
      </c>
      <c r="O9" s="198" t="s">
        <v>23</v>
      </c>
      <c r="P9" s="352" t="s">
        <v>21</v>
      </c>
      <c r="Q9" s="352" t="s">
        <v>21</v>
      </c>
      <c r="R9" s="353" t="s">
        <v>20</v>
      </c>
      <c r="S9" s="354" t="s">
        <v>97</v>
      </c>
      <c r="T9" s="167" t="s">
        <v>31</v>
      </c>
      <c r="U9" s="353" t="s">
        <v>20</v>
      </c>
      <c r="V9" s="167"/>
      <c r="W9" s="354" t="s">
        <v>96</v>
      </c>
      <c r="X9" s="339"/>
      <c r="Y9" s="336" t="s">
        <v>35</v>
      </c>
      <c r="Z9" s="167"/>
      <c r="AA9" s="167" t="s">
        <v>20</v>
      </c>
      <c r="AB9" s="167" t="s">
        <v>14</v>
      </c>
      <c r="AC9" s="339"/>
      <c r="AD9" s="339"/>
      <c r="AE9" s="339"/>
      <c r="AF9" s="354" t="s">
        <v>20</v>
      </c>
      <c r="AG9" s="353" t="s">
        <v>20</v>
      </c>
      <c r="AH9" s="354" t="s">
        <v>17</v>
      </c>
      <c r="AI9" s="339"/>
      <c r="AJ9" s="336" t="s">
        <v>35</v>
      </c>
      <c r="AK9" s="167"/>
      <c r="AL9" s="167" t="s">
        <v>22</v>
      </c>
      <c r="AM9" s="339"/>
      <c r="AN9" s="167" t="s">
        <v>14</v>
      </c>
      <c r="AO9" s="339"/>
      <c r="AP9" s="339"/>
      <c r="AQ9" s="339"/>
      <c r="AR9" s="354" t="s">
        <v>20</v>
      </c>
      <c r="AS9" s="167" t="s">
        <v>20</v>
      </c>
      <c r="AT9" s="167" t="s">
        <v>36</v>
      </c>
      <c r="AU9" s="167" t="s">
        <v>24</v>
      </c>
      <c r="AV9" s="352" t="s">
        <v>37</v>
      </c>
      <c r="AW9" s="352" t="s">
        <v>37</v>
      </c>
      <c r="AX9" s="349"/>
      <c r="AY9" s="355"/>
      <c r="AZ9" s="167" t="s">
        <v>17</v>
      </c>
      <c r="BA9" s="339"/>
      <c r="BB9" s="167" t="s">
        <v>22</v>
      </c>
      <c r="BC9" s="167" t="s">
        <v>39</v>
      </c>
      <c r="BD9" s="198" t="s">
        <v>17</v>
      </c>
      <c r="BE9" s="167" t="s">
        <v>14</v>
      </c>
      <c r="BF9" s="339"/>
      <c r="BG9" s="198"/>
      <c r="BH9" s="167"/>
      <c r="BI9" s="167"/>
      <c r="BJ9" s="167" t="s">
        <v>20</v>
      </c>
      <c r="BK9" s="339"/>
      <c r="BL9" s="167" t="s">
        <v>23</v>
      </c>
      <c r="BM9" s="336" t="s">
        <v>24</v>
      </c>
      <c r="BN9" s="198" t="s">
        <v>24</v>
      </c>
      <c r="BO9" s="198"/>
      <c r="BP9" s="167" t="s">
        <v>20</v>
      </c>
      <c r="BQ9" s="339"/>
      <c r="BR9" s="167" t="s">
        <v>26</v>
      </c>
      <c r="BS9" s="198"/>
      <c r="BT9" s="167" t="s">
        <v>14</v>
      </c>
      <c r="BU9" s="339"/>
      <c r="BV9" s="198"/>
      <c r="BW9" s="167"/>
      <c r="BX9" s="167" t="s">
        <v>20</v>
      </c>
      <c r="BY9" s="167" t="s">
        <v>20</v>
      </c>
      <c r="BZ9" s="167" t="s">
        <v>24</v>
      </c>
      <c r="CA9" s="167" t="s">
        <v>20</v>
      </c>
      <c r="CB9" s="339"/>
      <c r="CC9" s="167" t="s">
        <v>22</v>
      </c>
      <c r="CD9" s="167" t="s">
        <v>39</v>
      </c>
      <c r="CE9" s="167"/>
      <c r="CF9" s="198"/>
      <c r="CG9" s="167" t="s">
        <v>14</v>
      </c>
    </row>
    <row r="10" spans="1:106">
      <c r="A10" s="185" t="s">
        <v>104</v>
      </c>
      <c r="C10" s="356">
        <f>+'Gas Input Table Summary'!$E$7</f>
        <v>5.5299999999999994</v>
      </c>
      <c r="D10" s="357"/>
      <c r="E10" s="185" t="s">
        <v>16</v>
      </c>
      <c r="J10" s="358"/>
      <c r="L10" s="339"/>
      <c r="M10" s="167" t="s">
        <v>28</v>
      </c>
      <c r="N10" s="167" t="s">
        <v>29</v>
      </c>
      <c r="O10" s="198" t="s">
        <v>29</v>
      </c>
      <c r="P10" s="352" t="s">
        <v>30</v>
      </c>
      <c r="Q10" s="352" t="s">
        <v>30</v>
      </c>
      <c r="R10" s="353" t="s">
        <v>36</v>
      </c>
      <c r="S10" s="167" t="s">
        <v>31</v>
      </c>
      <c r="T10" s="167" t="s">
        <v>38</v>
      </c>
      <c r="U10" s="353" t="s">
        <v>31</v>
      </c>
      <c r="V10" s="167" t="s">
        <v>20</v>
      </c>
      <c r="W10" s="167" t="s">
        <v>118</v>
      </c>
      <c r="X10" s="167" t="s">
        <v>92</v>
      </c>
      <c r="Y10" s="336" t="s">
        <v>144</v>
      </c>
      <c r="Z10" s="167" t="s">
        <v>117</v>
      </c>
      <c r="AA10" s="167" t="s">
        <v>35</v>
      </c>
      <c r="AB10" s="167" t="s">
        <v>34</v>
      </c>
      <c r="AC10" s="339"/>
      <c r="AD10" s="339"/>
      <c r="AE10" s="339"/>
      <c r="AF10" s="354" t="s">
        <v>36</v>
      </c>
      <c r="AG10" s="353" t="s">
        <v>31</v>
      </c>
      <c r="AH10" s="354" t="s">
        <v>20</v>
      </c>
      <c r="AI10" s="339"/>
      <c r="AJ10" s="336" t="s">
        <v>144</v>
      </c>
      <c r="AK10" s="167" t="s">
        <v>117</v>
      </c>
      <c r="AL10" s="167" t="s">
        <v>35</v>
      </c>
      <c r="AM10" s="339"/>
      <c r="AN10" s="167" t="s">
        <v>34</v>
      </c>
      <c r="AO10" s="339"/>
      <c r="AP10" s="339"/>
      <c r="AQ10" s="339"/>
      <c r="AR10" s="167" t="s">
        <v>28</v>
      </c>
      <c r="AS10" s="167" t="s">
        <v>131</v>
      </c>
      <c r="AT10" s="167" t="s">
        <v>38</v>
      </c>
      <c r="AU10" s="167" t="s">
        <v>36</v>
      </c>
      <c r="AV10" s="198" t="s">
        <v>99</v>
      </c>
      <c r="AW10" s="359" t="s">
        <v>99</v>
      </c>
      <c r="AX10" s="349"/>
      <c r="AY10" s="360"/>
      <c r="AZ10" s="167" t="s">
        <v>20</v>
      </c>
      <c r="BA10" s="339"/>
      <c r="BB10" s="167" t="s">
        <v>35</v>
      </c>
      <c r="BC10" s="354" t="s">
        <v>100</v>
      </c>
      <c r="BD10" s="198" t="s">
        <v>20</v>
      </c>
      <c r="BE10" s="167" t="s">
        <v>34</v>
      </c>
      <c r="BF10" s="339"/>
      <c r="BG10" s="198"/>
      <c r="BH10" s="167"/>
      <c r="BI10" s="167" t="s">
        <v>25</v>
      </c>
      <c r="BJ10" s="167" t="s">
        <v>28</v>
      </c>
      <c r="BK10" s="167" t="s">
        <v>32</v>
      </c>
      <c r="BL10" s="167" t="s">
        <v>33</v>
      </c>
      <c r="BM10" s="336" t="s">
        <v>136</v>
      </c>
      <c r="BN10" s="167" t="s">
        <v>36</v>
      </c>
      <c r="BO10" s="167"/>
      <c r="BP10" s="167" t="s">
        <v>17</v>
      </c>
      <c r="BQ10" s="339"/>
      <c r="BR10" s="167" t="s">
        <v>112</v>
      </c>
      <c r="BS10" s="167"/>
      <c r="BT10" s="167" t="s">
        <v>34</v>
      </c>
      <c r="BU10" s="339"/>
      <c r="BV10" s="198"/>
      <c r="BW10" s="167"/>
      <c r="BX10" s="167" t="s">
        <v>28</v>
      </c>
      <c r="BY10" s="167" t="s">
        <v>31</v>
      </c>
      <c r="BZ10" s="167" t="s">
        <v>36</v>
      </c>
      <c r="CA10" s="167" t="s">
        <v>17</v>
      </c>
      <c r="CB10" s="339"/>
      <c r="CC10" s="167" t="s">
        <v>35</v>
      </c>
      <c r="CD10" s="354" t="s">
        <v>100</v>
      </c>
      <c r="CE10" s="167" t="s">
        <v>20</v>
      </c>
      <c r="CF10" s="167"/>
      <c r="CG10" s="167" t="s">
        <v>34</v>
      </c>
    </row>
    <row r="11" spans="1:106">
      <c r="A11" s="185" t="s">
        <v>18</v>
      </c>
      <c r="C11" s="361">
        <f>+'Gas Input Table Summary'!$E$8</f>
        <v>3.5000000000000003E-2</v>
      </c>
      <c r="E11" s="185" t="s">
        <v>19</v>
      </c>
      <c r="F11" s="195">
        <f>+'Total Program Inputs'!K19</f>
        <v>0</v>
      </c>
      <c r="G11" s="195"/>
      <c r="H11" s="195"/>
      <c r="J11" s="337" t="s">
        <v>42</v>
      </c>
      <c r="L11" s="339"/>
      <c r="M11" s="167" t="s">
        <v>44</v>
      </c>
      <c r="N11" s="198" t="s">
        <v>107</v>
      </c>
      <c r="O11" s="198" t="s">
        <v>38</v>
      </c>
      <c r="P11" s="352" t="s">
        <v>107</v>
      </c>
      <c r="Q11" s="352" t="s">
        <v>38</v>
      </c>
      <c r="R11" s="353" t="s">
        <v>38</v>
      </c>
      <c r="S11" s="167" t="s">
        <v>44</v>
      </c>
      <c r="T11" s="198" t="s">
        <v>95</v>
      </c>
      <c r="U11" s="353" t="s">
        <v>38</v>
      </c>
      <c r="V11" s="167" t="s">
        <v>38</v>
      </c>
      <c r="W11" s="167" t="s">
        <v>119</v>
      </c>
      <c r="X11" s="167" t="s">
        <v>93</v>
      </c>
      <c r="Y11" s="336" t="s">
        <v>15</v>
      </c>
      <c r="Z11" s="167" t="s">
        <v>15</v>
      </c>
      <c r="AA11" s="167" t="s">
        <v>15</v>
      </c>
      <c r="AB11" s="167" t="s">
        <v>15</v>
      </c>
      <c r="AC11" s="339"/>
      <c r="AD11" s="339"/>
      <c r="AF11" s="167" t="s">
        <v>38</v>
      </c>
      <c r="AG11" s="353" t="s">
        <v>38</v>
      </c>
      <c r="AH11" s="353" t="s">
        <v>38</v>
      </c>
      <c r="AI11" s="339"/>
      <c r="AJ11" s="336" t="s">
        <v>15</v>
      </c>
      <c r="AK11" s="167" t="s">
        <v>15</v>
      </c>
      <c r="AL11" s="167" t="s">
        <v>15</v>
      </c>
      <c r="AM11" s="339"/>
      <c r="AN11" s="167" t="s">
        <v>15</v>
      </c>
      <c r="AO11" s="339"/>
      <c r="AP11" s="339"/>
      <c r="AR11" s="167" t="s">
        <v>38</v>
      </c>
      <c r="AS11" s="167" t="s">
        <v>38</v>
      </c>
      <c r="AT11" s="336" t="s">
        <v>133</v>
      </c>
      <c r="AU11" s="167" t="s">
        <v>38</v>
      </c>
      <c r="AV11" s="362" t="s">
        <v>132</v>
      </c>
      <c r="AW11" s="362" t="s">
        <v>38</v>
      </c>
      <c r="AX11" s="349"/>
      <c r="AY11" s="360"/>
      <c r="AZ11" s="354" t="s">
        <v>38</v>
      </c>
      <c r="BA11" s="339"/>
      <c r="BB11" s="167" t="s">
        <v>15</v>
      </c>
      <c r="BC11" s="363" t="s">
        <v>101</v>
      </c>
      <c r="BD11" s="359" t="s">
        <v>15</v>
      </c>
      <c r="BE11" s="167" t="s">
        <v>15</v>
      </c>
      <c r="BF11" s="339"/>
      <c r="BH11" s="167"/>
      <c r="BI11" s="167" t="s">
        <v>46</v>
      </c>
      <c r="BJ11" s="167" t="s">
        <v>44</v>
      </c>
      <c r="BK11" s="167" t="s">
        <v>45</v>
      </c>
      <c r="BL11" s="167" t="s">
        <v>38</v>
      </c>
      <c r="BM11" s="336" t="s">
        <v>0</v>
      </c>
      <c r="BN11" s="167" t="s">
        <v>38</v>
      </c>
      <c r="BO11" s="167"/>
      <c r="BP11" s="167" t="s">
        <v>14</v>
      </c>
      <c r="BQ11" s="339"/>
      <c r="BR11" s="167" t="s">
        <v>15</v>
      </c>
      <c r="BS11" s="167"/>
      <c r="BT11" s="167" t="s">
        <v>15</v>
      </c>
      <c r="BU11" s="339"/>
      <c r="BW11" s="167"/>
      <c r="BX11" s="167" t="s">
        <v>38</v>
      </c>
      <c r="BY11" s="167" t="s">
        <v>38</v>
      </c>
      <c r="BZ11" s="167" t="s">
        <v>38</v>
      </c>
      <c r="CA11" s="167" t="s">
        <v>14</v>
      </c>
      <c r="CB11" s="339"/>
      <c r="CC11" s="167" t="s">
        <v>15</v>
      </c>
      <c r="CD11" s="363" t="s">
        <v>101</v>
      </c>
      <c r="CE11" s="167" t="s">
        <v>15</v>
      </c>
      <c r="CF11" s="167"/>
      <c r="CG11" s="167" t="s">
        <v>15</v>
      </c>
    </row>
    <row r="12" spans="1:106">
      <c r="A12" s="185"/>
      <c r="C12" s="361"/>
      <c r="E12" s="185" t="s">
        <v>27</v>
      </c>
      <c r="F12" s="320">
        <f>+'Total Program Inputs'!G19</f>
        <v>0</v>
      </c>
      <c r="G12" s="320"/>
      <c r="H12" s="320"/>
      <c r="J12" s="333"/>
      <c r="L12" s="184" t="s">
        <v>43</v>
      </c>
      <c r="M12" s="170" t="s">
        <v>48</v>
      </c>
      <c r="N12" s="170" t="s">
        <v>49</v>
      </c>
      <c r="O12" s="170" t="s">
        <v>50</v>
      </c>
      <c r="P12" s="170" t="s">
        <v>51</v>
      </c>
      <c r="Q12" s="170" t="s">
        <v>52</v>
      </c>
      <c r="R12" s="170" t="s">
        <v>53</v>
      </c>
      <c r="S12" s="170" t="s">
        <v>54</v>
      </c>
      <c r="T12" s="170" t="s">
        <v>55</v>
      </c>
      <c r="U12" s="170" t="s">
        <v>56</v>
      </c>
      <c r="V12" s="170" t="s">
        <v>57</v>
      </c>
      <c r="W12" s="170" t="s">
        <v>58</v>
      </c>
      <c r="X12" s="170" t="s">
        <v>59</v>
      </c>
      <c r="Y12" s="170" t="s">
        <v>60</v>
      </c>
      <c r="Z12" s="170" t="s">
        <v>61</v>
      </c>
      <c r="AA12" s="170" t="s">
        <v>137</v>
      </c>
      <c r="AB12" s="170" t="s">
        <v>145</v>
      </c>
      <c r="AE12" s="184" t="s">
        <v>43</v>
      </c>
      <c r="AF12" s="170" t="s">
        <v>48</v>
      </c>
      <c r="AG12" s="170" t="s">
        <v>49</v>
      </c>
      <c r="AH12" s="170" t="s">
        <v>50</v>
      </c>
      <c r="AJ12" s="170" t="s">
        <v>51</v>
      </c>
      <c r="AK12" s="170" t="s">
        <v>52</v>
      </c>
      <c r="AL12" s="170" t="s">
        <v>53</v>
      </c>
      <c r="AN12" s="170" t="s">
        <v>54</v>
      </c>
      <c r="AQ12" s="184" t="s">
        <v>43</v>
      </c>
      <c r="AR12" s="170" t="s">
        <v>48</v>
      </c>
      <c r="AS12" s="170" t="s">
        <v>49</v>
      </c>
      <c r="AT12" s="170" t="s">
        <v>50</v>
      </c>
      <c r="AU12" s="170" t="s">
        <v>51</v>
      </c>
      <c r="AV12" s="170" t="s">
        <v>52</v>
      </c>
      <c r="AW12" s="170" t="s">
        <v>53</v>
      </c>
      <c r="AX12" s="364"/>
      <c r="AY12" s="364"/>
      <c r="AZ12" s="170" t="s">
        <v>54</v>
      </c>
      <c r="BA12" s="339"/>
      <c r="BB12" s="170" t="s">
        <v>55</v>
      </c>
      <c r="BC12" s="170" t="s">
        <v>56</v>
      </c>
      <c r="BD12" s="170" t="s">
        <v>57</v>
      </c>
      <c r="BE12" s="170" t="s">
        <v>58</v>
      </c>
      <c r="BH12" s="184" t="s">
        <v>43</v>
      </c>
      <c r="BI12" s="170" t="s">
        <v>48</v>
      </c>
      <c r="BJ12" s="170" t="s">
        <v>49</v>
      </c>
      <c r="BK12" s="170" t="s">
        <v>50</v>
      </c>
      <c r="BL12" s="170" t="s">
        <v>51</v>
      </c>
      <c r="BM12" s="170" t="s">
        <v>52</v>
      </c>
      <c r="BN12" s="170" t="s">
        <v>53</v>
      </c>
      <c r="BO12" s="170"/>
      <c r="BP12" s="170" t="s">
        <v>54</v>
      </c>
      <c r="BR12" s="170" t="s">
        <v>55</v>
      </c>
      <c r="BS12" s="198"/>
      <c r="BT12" s="170" t="s">
        <v>56</v>
      </c>
      <c r="BW12" s="184" t="s">
        <v>43</v>
      </c>
      <c r="BX12" s="170" t="s">
        <v>48</v>
      </c>
      <c r="BY12" s="170" t="s">
        <v>49</v>
      </c>
      <c r="BZ12" s="170" t="s">
        <v>50</v>
      </c>
      <c r="CA12" s="170" t="s">
        <v>51</v>
      </c>
      <c r="CC12" s="170" t="s">
        <v>52</v>
      </c>
      <c r="CD12" s="170" t="s">
        <v>53</v>
      </c>
      <c r="CE12" s="170" t="s">
        <v>54</v>
      </c>
      <c r="CF12" s="198"/>
      <c r="CG12" s="170" t="s">
        <v>55</v>
      </c>
    </row>
    <row r="13" spans="1:106">
      <c r="A13" s="185" t="s">
        <v>40</v>
      </c>
      <c r="C13" s="365">
        <f>+'Gas Input Table Summary'!$E$9</f>
        <v>0.13500000000000001</v>
      </c>
      <c r="E13" s="185" t="s">
        <v>41</v>
      </c>
      <c r="F13" s="357">
        <f>SUM(F11:F12)</f>
        <v>0</v>
      </c>
      <c r="G13" s="357"/>
      <c r="H13" s="357"/>
      <c r="J13" s="366"/>
      <c r="L13" s="366"/>
      <c r="M13" s="366"/>
      <c r="N13" s="366"/>
      <c r="Q13" s="366"/>
      <c r="R13" s="321"/>
      <c r="S13" s="366"/>
      <c r="T13" s="366"/>
      <c r="V13" s="167"/>
      <c r="W13" s="366"/>
      <c r="X13" s="366"/>
      <c r="Z13" s="366"/>
      <c r="AA13" s="366"/>
      <c r="AB13" s="366"/>
      <c r="AE13" s="366"/>
      <c r="AF13" s="366"/>
      <c r="AH13" s="366"/>
      <c r="AL13" s="366"/>
      <c r="AN13" s="366"/>
      <c r="AQ13" s="366"/>
      <c r="AR13" s="366"/>
      <c r="AS13" s="366"/>
      <c r="AU13" s="366"/>
      <c r="AW13" s="334"/>
      <c r="AX13" s="274"/>
      <c r="AY13" s="367"/>
      <c r="AZ13" s="366"/>
      <c r="BB13" s="366"/>
      <c r="BC13" s="366"/>
      <c r="BD13" s="366"/>
      <c r="BE13" s="366"/>
      <c r="BH13" s="366"/>
      <c r="BI13" s="366"/>
      <c r="BJ13" s="366"/>
      <c r="BK13" s="366"/>
      <c r="BL13" s="366"/>
      <c r="BN13" s="366"/>
      <c r="BO13" s="366"/>
      <c r="BP13" s="366"/>
      <c r="BR13" s="366"/>
      <c r="BS13" s="366"/>
      <c r="BT13" s="366"/>
      <c r="BW13" s="366"/>
      <c r="BX13" s="366"/>
      <c r="BY13" s="366"/>
      <c r="BZ13" s="366"/>
      <c r="CA13" s="366"/>
      <c r="CC13" s="366"/>
      <c r="CD13" s="366"/>
      <c r="CE13" s="366"/>
      <c r="CF13" s="366"/>
      <c r="CG13" s="366"/>
    </row>
    <row r="14" spans="1:106">
      <c r="A14" s="185" t="s">
        <v>47</v>
      </c>
      <c r="C14" s="361">
        <f>+'Gas Input Table Summary'!$E$10</f>
        <v>3.5000000000000003E-2</v>
      </c>
      <c r="F14" s="368"/>
      <c r="G14" s="368"/>
      <c r="H14" s="368"/>
      <c r="J14" s="333">
        <f>$C$47-$C$45</f>
        <v>1</v>
      </c>
      <c r="L14" s="366">
        <f>$C$47</f>
        <v>2015</v>
      </c>
      <c r="M14" s="369">
        <f>ROUND(IF($C$47+$F$23&gt;L14,F25*F30,0),0)</f>
        <v>0</v>
      </c>
      <c r="N14" s="370">
        <f>ROUND($C$17*(1),3)</f>
        <v>2.577</v>
      </c>
      <c r="O14" s="357">
        <f t="shared" ref="O14:O34" si="0">ROUND(M14*N14,0)</f>
        <v>0</v>
      </c>
      <c r="P14" s="370">
        <f t="shared" ref="P14:P34" si="1">ROUND($C$25*(1+$C$26)^J14,3)</f>
        <v>0</v>
      </c>
      <c r="Q14" s="357">
        <f>ROUND(M14*P14,0)</f>
        <v>0</v>
      </c>
      <c r="R14" s="371">
        <f t="shared" ref="R14:R34" si="2">O14+Q14</f>
        <v>0</v>
      </c>
      <c r="S14" s="372">
        <f t="shared" ref="S14:S34" si="3">ROUND(M14*$C$23,1)</f>
        <v>0</v>
      </c>
      <c r="T14" s="357">
        <f>ROUND($C$20*(1),0)</f>
        <v>142</v>
      </c>
      <c r="U14" s="373">
        <f>ROUND(S14*T14,0)</f>
        <v>0</v>
      </c>
      <c r="V14" s="374">
        <f>ROUND(+U14+R14,0)</f>
        <v>0</v>
      </c>
      <c r="W14" s="375">
        <f t="shared" ref="W14:W34" si="4">ROUND($H$36*(1+$C$11)^J14,3)</f>
        <v>1.3480000000000001</v>
      </c>
      <c r="X14" s="376">
        <f t="shared" ref="X14:X34" si="5">ROUND((1-$H$38)*(W14*M14),0)</f>
        <v>0</v>
      </c>
      <c r="Y14" s="377">
        <f>ROUND($F$11,0)</f>
        <v>0</v>
      </c>
      <c r="Z14" s="377">
        <f>ROUND($F$12,0)</f>
        <v>0</v>
      </c>
      <c r="AA14" s="377">
        <f t="shared" ref="AA14:AA34" si="6">SUM(X14:Z14)</f>
        <v>0</v>
      </c>
      <c r="AB14" s="357">
        <f t="shared" ref="AB14:AB34" si="7">V14-AA14</f>
        <v>0</v>
      </c>
      <c r="AE14" s="366">
        <f>$C$47</f>
        <v>2015</v>
      </c>
      <c r="AF14" s="357">
        <f t="shared" ref="AF14:AF34" si="8">+R14</f>
        <v>0</v>
      </c>
      <c r="AG14" s="378">
        <f t="shared" ref="AG14:AG34" si="9">+U14</f>
        <v>0</v>
      </c>
      <c r="AH14" s="377">
        <f>+AG14+AF14</f>
        <v>0</v>
      </c>
      <c r="AJ14" s="378">
        <f>ROUND(Y14,0)</f>
        <v>0</v>
      </c>
      <c r="AK14" s="378">
        <f>ROUND(Z14,0)</f>
        <v>0</v>
      </c>
      <c r="AL14" s="357">
        <f t="shared" ref="AL14:AL34" si="10">SUM(AJ14:AK14)</f>
        <v>0</v>
      </c>
      <c r="AN14" s="357">
        <f t="shared" ref="AN14:AN34" si="11">+AH14-AL14</f>
        <v>0</v>
      </c>
      <c r="AQ14" s="366">
        <f>$C$47</f>
        <v>2015</v>
      </c>
      <c r="AR14" s="357">
        <f t="shared" ref="AR14:AR34" si="12">AF14</f>
        <v>0</v>
      </c>
      <c r="AS14" s="357">
        <f t="shared" ref="AS14:AS34" si="13">+AG14</f>
        <v>0</v>
      </c>
      <c r="AT14" s="379">
        <f t="shared" ref="AT14:AT34" si="14">ROUND(($C$28/(1-$C$31))*(1+$C$29)^J14,3)</f>
        <v>2.4E-2</v>
      </c>
      <c r="AU14" s="380">
        <f>ROUND(IF($C$47+$F$23&gt;$AQ14,$F$30*$F$27,0)*AT14,0)</f>
        <v>0</v>
      </c>
      <c r="AV14" s="370">
        <f t="shared" ref="AV14:AV34" si="15">ROUND($C$33*(1+$C$34)^J14,3)</f>
        <v>0.35799999999999998</v>
      </c>
      <c r="AW14" s="357">
        <f t="shared" ref="AW14:AW34" si="16">ROUND(AV14*M14,0)</f>
        <v>0</v>
      </c>
      <c r="AX14" s="379"/>
      <c r="AY14" s="380"/>
      <c r="AZ14" s="357">
        <f>ROUND(AR14+AS14+AU14+AW14+AY14,0)</f>
        <v>0</v>
      </c>
      <c r="BA14" s="381"/>
      <c r="BB14" s="377">
        <f>ROUND($F$13,0)</f>
        <v>0</v>
      </c>
      <c r="BC14" s="377">
        <f>ROUND((F15*F30)-Z14,0)</f>
        <v>0</v>
      </c>
      <c r="BD14" s="382">
        <f>BB14+BC14</f>
        <v>0</v>
      </c>
      <c r="BE14" s="377">
        <f t="shared" ref="BE14:BE34" si="17">AZ14-BD14</f>
        <v>0</v>
      </c>
      <c r="BH14" s="366">
        <f>$C$47</f>
        <v>2015</v>
      </c>
      <c r="BI14" s="357">
        <f>+F12</f>
        <v>0</v>
      </c>
      <c r="BJ14" s="369">
        <f t="shared" ref="BJ14:BJ34" si="18">+M14</f>
        <v>0</v>
      </c>
      <c r="BK14" s="383">
        <f t="shared" ref="BK14:BK34" si="19">ROUND($C$10*(1+$C$11)^J14,3)</f>
        <v>5.7240000000000002</v>
      </c>
      <c r="BL14" s="357">
        <f>ROUND(BJ14*BK14,0)</f>
        <v>0</v>
      </c>
      <c r="BM14" s="383">
        <f t="shared" ref="BM14:BM34" si="20">ROUND($C$13*(1+$C$14)^J14,3)</f>
        <v>0.14000000000000001</v>
      </c>
      <c r="BN14" s="380">
        <f>ROUND(IF($C$47+$F$23&gt;$BH14,$F$30*$F$27,0)*BM14,0)</f>
        <v>0</v>
      </c>
      <c r="BO14" s="380"/>
      <c r="BP14" s="357">
        <f t="shared" ref="BP14:BP34" si="21">BI14+BL14+BN14+BO14</f>
        <v>0</v>
      </c>
      <c r="BR14" s="357">
        <f>ROUND(F15*F30,0)</f>
        <v>0</v>
      </c>
      <c r="BS14" s="357"/>
      <c r="BT14" s="357">
        <f>BP14-BR14</f>
        <v>0</v>
      </c>
      <c r="BW14" s="366">
        <f>$C$47</f>
        <v>2015</v>
      </c>
      <c r="BX14" s="357">
        <f t="shared" ref="BX14:BX34" si="22">$R14</f>
        <v>0</v>
      </c>
      <c r="BY14" s="357">
        <f>U14</f>
        <v>0</v>
      </c>
      <c r="BZ14" s="384">
        <f>AU14</f>
        <v>0</v>
      </c>
      <c r="CA14" s="357">
        <f>SUM(BX14:BZ14)</f>
        <v>0</v>
      </c>
      <c r="CC14" s="357">
        <f>BB14</f>
        <v>0</v>
      </c>
      <c r="CD14" s="357">
        <f>BC14</f>
        <v>0</v>
      </c>
      <c r="CE14" s="357">
        <f>SUM(CC14:CD14)</f>
        <v>0</v>
      </c>
      <c r="CF14" s="357"/>
      <c r="CG14" s="357">
        <f>CA14-CE14</f>
        <v>0</v>
      </c>
    </row>
    <row r="15" spans="1:106">
      <c r="A15" s="185" t="s">
        <v>62</v>
      </c>
      <c r="C15" s="188" t="str">
        <f>+'Gas Input Table Summary'!$E$11</f>
        <v>Kwh</v>
      </c>
      <c r="E15" s="185" t="s">
        <v>63</v>
      </c>
      <c r="F15" s="385">
        <f>ROUND('Database Inputs'!K18,0)</f>
        <v>3000</v>
      </c>
      <c r="G15" s="385"/>
      <c r="H15" s="385"/>
      <c r="J15" s="333">
        <f t="shared" ref="J15:J34" si="23">J14+1</f>
        <v>2</v>
      </c>
      <c r="L15" s="366">
        <f t="shared" ref="L15:L34" si="24">L14+1</f>
        <v>2016</v>
      </c>
      <c r="M15" s="386">
        <f>ROUND(IF($C$47+$F$23&gt;L15,$F$25*$F$30,0)+IF($C$48+$G$23&gt;L15,$G$25*$G$30,0),0)</f>
        <v>0</v>
      </c>
      <c r="N15" s="387">
        <f>ROUND($C$17*(1+$C$18)^J14,3)</f>
        <v>2.6669999999999998</v>
      </c>
      <c r="O15" s="388">
        <f t="shared" si="0"/>
        <v>0</v>
      </c>
      <c r="P15" s="387">
        <f t="shared" si="1"/>
        <v>0</v>
      </c>
      <c r="Q15" s="389">
        <f t="shared" ref="Q15:Q34" si="25">ROUND(M15*P15,0)</f>
        <v>0</v>
      </c>
      <c r="R15" s="390">
        <f t="shared" si="2"/>
        <v>0</v>
      </c>
      <c r="S15" s="372">
        <f t="shared" si="3"/>
        <v>0</v>
      </c>
      <c r="T15" s="389">
        <f>ROUND($C$20*(1+$C$21)^J14,0)</f>
        <v>144</v>
      </c>
      <c r="U15" s="391">
        <f>ROUND(S15*T15,0)</f>
        <v>0</v>
      </c>
      <c r="V15" s="386">
        <f t="shared" ref="V15:V34" si="26">ROUND(+U15+R15,0)</f>
        <v>0</v>
      </c>
      <c r="W15" s="392">
        <f t="shared" si="4"/>
        <v>1.395</v>
      </c>
      <c r="X15" s="393">
        <f t="shared" si="5"/>
        <v>0</v>
      </c>
      <c r="Y15" s="393">
        <f>ROUND($G$11,0)</f>
        <v>0</v>
      </c>
      <c r="Z15" s="393">
        <f>ROUND($G$12,0)</f>
        <v>0</v>
      </c>
      <c r="AA15" s="389">
        <f t="shared" si="6"/>
        <v>0</v>
      </c>
      <c r="AB15" s="393">
        <f t="shared" si="7"/>
        <v>0</v>
      </c>
      <c r="AE15" s="366">
        <f t="shared" ref="AE15:AE34" si="27">AE14+1</f>
        <v>2016</v>
      </c>
      <c r="AF15" s="393">
        <f t="shared" si="8"/>
        <v>0</v>
      </c>
      <c r="AG15" s="368">
        <f t="shared" si="9"/>
        <v>0</v>
      </c>
      <c r="AH15" s="393">
        <f>+AG15+AF15</f>
        <v>0</v>
      </c>
      <c r="AJ15" s="394">
        <f t="shared" ref="AJ15:AK34" si="28">ROUND(Y15,0)</f>
        <v>0</v>
      </c>
      <c r="AK15" s="394">
        <f t="shared" si="28"/>
        <v>0</v>
      </c>
      <c r="AL15" s="395">
        <f t="shared" si="10"/>
        <v>0</v>
      </c>
      <c r="AN15" s="396">
        <f t="shared" si="11"/>
        <v>0</v>
      </c>
      <c r="AQ15" s="366">
        <f t="shared" ref="AQ15:AQ34" si="29">AQ14+1</f>
        <v>2016</v>
      </c>
      <c r="AR15" s="393">
        <f t="shared" si="12"/>
        <v>0</v>
      </c>
      <c r="AS15" s="393">
        <f t="shared" si="13"/>
        <v>0</v>
      </c>
      <c r="AT15" s="397">
        <f t="shared" si="14"/>
        <v>2.5000000000000001E-2</v>
      </c>
      <c r="AU15" s="398">
        <f>ROUND((IF($C$47+$F$23&gt;$AQ15,$F$27*$F$30,0)+IF($C$48+$G$23&gt;AQ15,$G$27*$G$30,0))*AT15,0)</f>
        <v>0</v>
      </c>
      <c r="AV15" s="387">
        <f t="shared" si="15"/>
        <v>0.36599999999999999</v>
      </c>
      <c r="AW15" s="393">
        <f t="shared" si="16"/>
        <v>0</v>
      </c>
      <c r="AX15" s="397"/>
      <c r="AY15" s="399"/>
      <c r="AZ15" s="393">
        <f t="shared" ref="AZ15:AZ34" si="30">ROUND(AR15+AS15+AU15+AW15+AY15,0)</f>
        <v>0</v>
      </c>
      <c r="BA15" s="381"/>
      <c r="BB15" s="393">
        <f>ROUND($G$13,0)</f>
        <v>0</v>
      </c>
      <c r="BC15" s="393">
        <f>ROUND(($G$15*$G$30)-$Z$15,0)</f>
        <v>0</v>
      </c>
      <c r="BD15" s="400">
        <f t="shared" ref="BD15:BD34" si="31">BB15+BC15</f>
        <v>0</v>
      </c>
      <c r="BE15" s="393">
        <f t="shared" si="17"/>
        <v>0</v>
      </c>
      <c r="BH15" s="366">
        <f t="shared" ref="BH15:BH34" si="32">BH14+1</f>
        <v>2016</v>
      </c>
      <c r="BI15" s="393">
        <f>+G12</f>
        <v>0</v>
      </c>
      <c r="BJ15" s="369">
        <f t="shared" si="18"/>
        <v>0</v>
      </c>
      <c r="BK15" s="401">
        <f t="shared" si="19"/>
        <v>5.9240000000000004</v>
      </c>
      <c r="BL15" s="393">
        <f>ROUND(BJ15*BK15,0)</f>
        <v>0</v>
      </c>
      <c r="BM15" s="401">
        <f t="shared" si="20"/>
        <v>0.14499999999999999</v>
      </c>
      <c r="BN15" s="398">
        <f>ROUND((IF($C$47+$F$23&gt;BH15,$F$27*$F$30,0)+IF($C$48+$G$23&gt;BH15,$G$27*$G$30,0))*BM15,0)</f>
        <v>0</v>
      </c>
      <c r="BO15" s="402"/>
      <c r="BP15" s="393">
        <f t="shared" si="21"/>
        <v>0</v>
      </c>
      <c r="BR15" s="393">
        <f>ROUND($G$15*$G$30,0)</f>
        <v>0</v>
      </c>
      <c r="BS15" s="393"/>
      <c r="BT15" s="393">
        <f t="shared" ref="BT15:BT34" si="33">BP15-BR15</f>
        <v>0</v>
      </c>
      <c r="BW15" s="366">
        <f t="shared" ref="BW15:BW34" si="34">BW14+1</f>
        <v>2016</v>
      </c>
      <c r="BX15" s="393">
        <f t="shared" si="22"/>
        <v>0</v>
      </c>
      <c r="BY15" s="369">
        <f t="shared" ref="BY15:BY34" si="35">U15</f>
        <v>0</v>
      </c>
      <c r="BZ15" s="403">
        <f t="shared" ref="BZ15:BZ34" si="36">AU15</f>
        <v>0</v>
      </c>
      <c r="CA15" s="393">
        <f t="shared" ref="CA15:CA34" si="37">SUM(BX15:BZ15)</f>
        <v>0</v>
      </c>
      <c r="CC15" s="393">
        <f t="shared" ref="CC15:CD34" si="38">BB15</f>
        <v>0</v>
      </c>
      <c r="CD15" s="393">
        <f t="shared" si="38"/>
        <v>0</v>
      </c>
      <c r="CE15" s="393">
        <f t="shared" ref="CE15:CE34" si="39">SUM(CC15:CD15)</f>
        <v>0</v>
      </c>
      <c r="CF15" s="393"/>
      <c r="CG15" s="393">
        <f>CA15-CE15</f>
        <v>0</v>
      </c>
    </row>
    <row r="16" spans="1:106">
      <c r="F16" s="369"/>
      <c r="G16" s="369"/>
      <c r="H16" s="369"/>
      <c r="J16" s="333">
        <f t="shared" si="23"/>
        <v>3</v>
      </c>
      <c r="L16" s="366">
        <f t="shared" si="24"/>
        <v>2017</v>
      </c>
      <c r="M16" s="386">
        <f>ROUND(IF($C$47+$F$23&gt;L16,$F$25*$F$30,0)+IF($C$48+$G$23&gt;L16,$G$25*$G$30,0)+IF($C$49+$H$23&gt;L16,$H$25*$H$30,0),0)</f>
        <v>0</v>
      </c>
      <c r="N16" s="387">
        <f t="shared" ref="N16:N34" si="40">ROUND($C$17*(1+$C$18)^J15,3)</f>
        <v>2.7610000000000001</v>
      </c>
      <c r="O16" s="388">
        <f t="shared" si="0"/>
        <v>0</v>
      </c>
      <c r="P16" s="387">
        <f t="shared" si="1"/>
        <v>0</v>
      </c>
      <c r="Q16" s="389">
        <f t="shared" si="25"/>
        <v>0</v>
      </c>
      <c r="R16" s="390">
        <f t="shared" si="2"/>
        <v>0</v>
      </c>
      <c r="S16" s="372">
        <f t="shared" si="3"/>
        <v>0</v>
      </c>
      <c r="T16" s="389">
        <f t="shared" ref="T16:T34" si="41">ROUND($C$20*(1+$C$21)^J15,0)</f>
        <v>145</v>
      </c>
      <c r="U16" s="391">
        <f t="shared" ref="U16:U34" si="42">ROUND(S16*T16,0)</f>
        <v>0</v>
      </c>
      <c r="V16" s="386">
        <f t="shared" si="26"/>
        <v>0</v>
      </c>
      <c r="W16" s="392">
        <f t="shared" si="4"/>
        <v>1.444</v>
      </c>
      <c r="X16" s="393">
        <f t="shared" si="5"/>
        <v>0</v>
      </c>
      <c r="Y16" s="393">
        <f>ROUND($H$11,0)</f>
        <v>0</v>
      </c>
      <c r="Z16" s="393">
        <f>ROUND($H$12,0)</f>
        <v>0</v>
      </c>
      <c r="AA16" s="389">
        <f t="shared" si="6"/>
        <v>0</v>
      </c>
      <c r="AB16" s="393">
        <f t="shared" si="7"/>
        <v>0</v>
      </c>
      <c r="AE16" s="366">
        <f t="shared" si="27"/>
        <v>2017</v>
      </c>
      <c r="AF16" s="393">
        <f t="shared" si="8"/>
        <v>0</v>
      </c>
      <c r="AG16" s="368">
        <f t="shared" si="9"/>
        <v>0</v>
      </c>
      <c r="AH16" s="393">
        <f t="shared" ref="AH16:AH34" si="43">+AG16+AF16</f>
        <v>0</v>
      </c>
      <c r="AJ16" s="394">
        <f t="shared" si="28"/>
        <v>0</v>
      </c>
      <c r="AK16" s="394">
        <f t="shared" si="28"/>
        <v>0</v>
      </c>
      <c r="AL16" s="395">
        <f t="shared" si="10"/>
        <v>0</v>
      </c>
      <c r="AN16" s="396">
        <f t="shared" si="11"/>
        <v>0</v>
      </c>
      <c r="AQ16" s="366">
        <f t="shared" si="29"/>
        <v>2017</v>
      </c>
      <c r="AR16" s="393">
        <f t="shared" si="12"/>
        <v>0</v>
      </c>
      <c r="AS16" s="393">
        <f t="shared" si="13"/>
        <v>0</v>
      </c>
      <c r="AT16" s="397">
        <f t="shared" si="14"/>
        <v>2.5000000000000001E-2</v>
      </c>
      <c r="AU16" s="398">
        <f>ROUND((IF($C$47+$F$23&gt;$AQ16,$F$27*$F$30,0)+IF($C$48+$G$23&gt;AQ16,$G$27*$G$30,0)+IF($C$49+$H$23&gt;AQ16,$H$27*$H$30,0))*AT16,0)</f>
        <v>0</v>
      </c>
      <c r="AV16" s="387">
        <f t="shared" si="15"/>
        <v>0.375</v>
      </c>
      <c r="AW16" s="393">
        <f t="shared" si="16"/>
        <v>0</v>
      </c>
      <c r="AX16" s="397"/>
      <c r="AY16" s="399"/>
      <c r="AZ16" s="393">
        <f t="shared" si="30"/>
        <v>0</v>
      </c>
      <c r="BA16" s="381"/>
      <c r="BB16" s="393">
        <f>ROUND($H$13,0)</f>
        <v>0</v>
      </c>
      <c r="BC16" s="393">
        <f>ROUND(($H$15*$H$30)-$Z$16,0)</f>
        <v>0</v>
      </c>
      <c r="BD16" s="400">
        <f t="shared" si="31"/>
        <v>0</v>
      </c>
      <c r="BE16" s="393">
        <f t="shared" si="17"/>
        <v>0</v>
      </c>
      <c r="BH16" s="366">
        <f t="shared" si="32"/>
        <v>2017</v>
      </c>
      <c r="BI16" s="393">
        <f>ROUND(H12,0)</f>
        <v>0</v>
      </c>
      <c r="BJ16" s="369">
        <f t="shared" si="18"/>
        <v>0</v>
      </c>
      <c r="BK16" s="401">
        <f t="shared" si="19"/>
        <v>6.1310000000000002</v>
      </c>
      <c r="BL16" s="393">
        <f t="shared" ref="BL16:BL34" si="44">ROUND(BJ16*BK16,0)</f>
        <v>0</v>
      </c>
      <c r="BM16" s="401">
        <f t="shared" si="20"/>
        <v>0.15</v>
      </c>
      <c r="BN16" s="398">
        <f>ROUND((IF($C$47+$F$23&gt;BH16,$F$27*$F$30,0)+IF($C$49+$H$23&gt;BH16,$H$27*$H$30,0)+IF($C$48+$G$23&gt;BH16,$G$27*$G$30,0))*BM16,0)</f>
        <v>0</v>
      </c>
      <c r="BO16" s="402"/>
      <c r="BP16" s="393">
        <f t="shared" si="21"/>
        <v>0</v>
      </c>
      <c r="BR16" s="393">
        <f>ROUND($H$15*$H$30,0)</f>
        <v>0</v>
      </c>
      <c r="BS16" s="393"/>
      <c r="BT16" s="393">
        <f t="shared" si="33"/>
        <v>0</v>
      </c>
      <c r="BW16" s="366">
        <f t="shared" si="34"/>
        <v>2017</v>
      </c>
      <c r="BX16" s="393">
        <f t="shared" si="22"/>
        <v>0</v>
      </c>
      <c r="BY16" s="369">
        <f t="shared" si="35"/>
        <v>0</v>
      </c>
      <c r="BZ16" s="403">
        <f t="shared" si="36"/>
        <v>0</v>
      </c>
      <c r="CA16" s="393">
        <f t="shared" si="37"/>
        <v>0</v>
      </c>
      <c r="CC16" s="393">
        <f t="shared" si="38"/>
        <v>0</v>
      </c>
      <c r="CD16" s="393">
        <f t="shared" si="38"/>
        <v>0</v>
      </c>
      <c r="CE16" s="393">
        <f t="shared" si="39"/>
        <v>0</v>
      </c>
      <c r="CF16" s="393"/>
      <c r="CG16" s="393">
        <f t="shared" ref="CG16:CG34" si="45">CA16-CE16</f>
        <v>0</v>
      </c>
    </row>
    <row r="17" spans="1:106">
      <c r="A17" s="185" t="s">
        <v>105</v>
      </c>
      <c r="C17" s="356">
        <f>+'Gas Input Table Summary'!$E$12</f>
        <v>2.577</v>
      </c>
      <c r="D17" s="404"/>
      <c r="E17" s="185" t="s">
        <v>64</v>
      </c>
      <c r="F17" s="195">
        <f>+'Gas Input Table Summary'!$E$35</f>
        <v>0</v>
      </c>
      <c r="G17" s="195"/>
      <c r="H17" s="195"/>
      <c r="J17" s="333">
        <f t="shared" si="23"/>
        <v>4</v>
      </c>
      <c r="L17" s="366">
        <f t="shared" si="24"/>
        <v>2018</v>
      </c>
      <c r="M17" s="386">
        <f t="shared" ref="M17:M34" si="46">ROUND(IF($C$47+$F$23&gt;L17,$F$25*$F$30,0)+IF($C$48+$G$23&gt;L17,$G$25*$G$30,0)+IF($C$49+$H$23&gt;L17,$H$25*$H$30,0),0)</f>
        <v>0</v>
      </c>
      <c r="N17" s="387">
        <f t="shared" si="40"/>
        <v>2.8570000000000002</v>
      </c>
      <c r="O17" s="388">
        <f t="shared" si="0"/>
        <v>0</v>
      </c>
      <c r="P17" s="387">
        <f t="shared" si="1"/>
        <v>0</v>
      </c>
      <c r="Q17" s="389">
        <f t="shared" si="25"/>
        <v>0</v>
      </c>
      <c r="R17" s="390">
        <f t="shared" si="2"/>
        <v>0</v>
      </c>
      <c r="S17" s="372">
        <f t="shared" si="3"/>
        <v>0</v>
      </c>
      <c r="T17" s="389">
        <f t="shared" si="41"/>
        <v>147</v>
      </c>
      <c r="U17" s="391">
        <f t="shared" si="42"/>
        <v>0</v>
      </c>
      <c r="V17" s="386">
        <f t="shared" si="26"/>
        <v>0</v>
      </c>
      <c r="W17" s="392">
        <f t="shared" si="4"/>
        <v>1.494</v>
      </c>
      <c r="X17" s="393">
        <f t="shared" si="5"/>
        <v>0</v>
      </c>
      <c r="Y17" s="393">
        <v>0</v>
      </c>
      <c r="Z17" s="393">
        <v>0</v>
      </c>
      <c r="AA17" s="389">
        <f t="shared" si="6"/>
        <v>0</v>
      </c>
      <c r="AB17" s="393">
        <f t="shared" si="7"/>
        <v>0</v>
      </c>
      <c r="AE17" s="366">
        <f t="shared" si="27"/>
        <v>2018</v>
      </c>
      <c r="AF17" s="393">
        <f t="shared" si="8"/>
        <v>0</v>
      </c>
      <c r="AG17" s="368">
        <f t="shared" si="9"/>
        <v>0</v>
      </c>
      <c r="AH17" s="393">
        <f t="shared" si="43"/>
        <v>0</v>
      </c>
      <c r="AJ17" s="394">
        <f t="shared" si="28"/>
        <v>0</v>
      </c>
      <c r="AK17" s="394">
        <f t="shared" si="28"/>
        <v>0</v>
      </c>
      <c r="AL17" s="395">
        <f t="shared" si="10"/>
        <v>0</v>
      </c>
      <c r="AN17" s="396">
        <f t="shared" si="11"/>
        <v>0</v>
      </c>
      <c r="AQ17" s="366">
        <f t="shared" si="29"/>
        <v>2018</v>
      </c>
      <c r="AR17" s="393">
        <f t="shared" si="12"/>
        <v>0</v>
      </c>
      <c r="AS17" s="393">
        <f t="shared" si="13"/>
        <v>0</v>
      </c>
      <c r="AT17" s="397">
        <f t="shared" si="14"/>
        <v>2.5999999999999999E-2</v>
      </c>
      <c r="AU17" s="398">
        <f t="shared" ref="AU17:AU34" si="47">ROUND((IF($C$47+$F$23&gt;$AQ17,$F$27*$F$30,0)+IF($C$48+$G$23&gt;AQ17,$G$27*$G$30,0)+IF($C$49+$H$23&gt;AQ17,$H$27*$H$30,0))*AT17,0)</f>
        <v>0</v>
      </c>
      <c r="AV17" s="387">
        <f t="shared" si="15"/>
        <v>0.38300000000000001</v>
      </c>
      <c r="AW17" s="393">
        <f t="shared" si="16"/>
        <v>0</v>
      </c>
      <c r="AX17" s="397"/>
      <c r="AY17" s="399"/>
      <c r="AZ17" s="393">
        <f t="shared" si="30"/>
        <v>0</v>
      </c>
      <c r="BA17" s="381"/>
      <c r="BB17" s="393">
        <v>0</v>
      </c>
      <c r="BC17" s="393">
        <v>0</v>
      </c>
      <c r="BD17" s="400">
        <f t="shared" si="31"/>
        <v>0</v>
      </c>
      <c r="BE17" s="393">
        <f t="shared" si="17"/>
        <v>0</v>
      </c>
      <c r="BH17" s="366">
        <f t="shared" si="32"/>
        <v>2018</v>
      </c>
      <c r="BI17" s="393">
        <v>0</v>
      </c>
      <c r="BJ17" s="369">
        <f t="shared" si="18"/>
        <v>0</v>
      </c>
      <c r="BK17" s="401">
        <f t="shared" si="19"/>
        <v>6.3460000000000001</v>
      </c>
      <c r="BL17" s="393">
        <f t="shared" si="44"/>
        <v>0</v>
      </c>
      <c r="BM17" s="401">
        <f t="shared" si="20"/>
        <v>0.155</v>
      </c>
      <c r="BN17" s="398">
        <f t="shared" ref="BN17:BN34" si="48">ROUND((IF($C$47+$F$23&gt;BH17,$F$27*$F$30,0)+IF($C$49+$H$23&gt;BH17,$H$27*$H$30,0)+IF($C$48+$G$23&gt;BH17,$G$27*$G$30,0))*BM17,0)</f>
        <v>0</v>
      </c>
      <c r="BO17" s="402"/>
      <c r="BP17" s="393">
        <f t="shared" si="21"/>
        <v>0</v>
      </c>
      <c r="BR17" s="393">
        <f t="shared" ref="BR17:BR34" si="49">+BC17</f>
        <v>0</v>
      </c>
      <c r="BS17" s="393"/>
      <c r="BT17" s="393">
        <f t="shared" si="33"/>
        <v>0</v>
      </c>
      <c r="BW17" s="366">
        <f t="shared" si="34"/>
        <v>2018</v>
      </c>
      <c r="BX17" s="393">
        <f t="shared" si="22"/>
        <v>0</v>
      </c>
      <c r="BY17" s="369">
        <f t="shared" si="35"/>
        <v>0</v>
      </c>
      <c r="BZ17" s="403">
        <f t="shared" si="36"/>
        <v>0</v>
      </c>
      <c r="CA17" s="393">
        <f t="shared" si="37"/>
        <v>0</v>
      </c>
      <c r="CC17" s="393">
        <f t="shared" si="38"/>
        <v>0</v>
      </c>
      <c r="CD17" s="393">
        <f t="shared" si="38"/>
        <v>0</v>
      </c>
      <c r="CE17" s="393">
        <f t="shared" si="39"/>
        <v>0</v>
      </c>
      <c r="CF17" s="393"/>
      <c r="CG17" s="393">
        <f t="shared" si="45"/>
        <v>0</v>
      </c>
    </row>
    <row r="18" spans="1:106">
      <c r="A18" s="185" t="s">
        <v>18</v>
      </c>
      <c r="C18" s="358">
        <f>+'Gas Input Table Summary'!$E$13</f>
        <v>3.5000000000000003E-2</v>
      </c>
      <c r="E18" s="187" t="s">
        <v>65</v>
      </c>
      <c r="F18" s="405">
        <f>+'Gas Input Table Summary'!$E$38</f>
        <v>0</v>
      </c>
      <c r="G18" s="405"/>
      <c r="H18" s="405"/>
      <c r="J18" s="333">
        <f t="shared" si="23"/>
        <v>5</v>
      </c>
      <c r="L18" s="366">
        <f t="shared" si="24"/>
        <v>2019</v>
      </c>
      <c r="M18" s="386">
        <f t="shared" si="46"/>
        <v>0</v>
      </c>
      <c r="N18" s="387">
        <f t="shared" si="40"/>
        <v>2.9569999999999999</v>
      </c>
      <c r="O18" s="388">
        <f t="shared" si="0"/>
        <v>0</v>
      </c>
      <c r="P18" s="387">
        <f t="shared" si="1"/>
        <v>0</v>
      </c>
      <c r="Q18" s="389">
        <f t="shared" si="25"/>
        <v>0</v>
      </c>
      <c r="R18" s="390">
        <f t="shared" si="2"/>
        <v>0</v>
      </c>
      <c r="S18" s="372">
        <f t="shared" si="3"/>
        <v>0</v>
      </c>
      <c r="T18" s="389">
        <f t="shared" si="41"/>
        <v>148</v>
      </c>
      <c r="U18" s="391">
        <f t="shared" si="42"/>
        <v>0</v>
      </c>
      <c r="V18" s="386">
        <f t="shared" si="26"/>
        <v>0</v>
      </c>
      <c r="W18" s="392">
        <f t="shared" si="4"/>
        <v>1.546</v>
      </c>
      <c r="X18" s="393">
        <f t="shared" si="5"/>
        <v>0</v>
      </c>
      <c r="Y18" s="393">
        <v>0</v>
      </c>
      <c r="Z18" s="393">
        <v>0</v>
      </c>
      <c r="AA18" s="389">
        <f t="shared" si="6"/>
        <v>0</v>
      </c>
      <c r="AB18" s="393">
        <f t="shared" si="7"/>
        <v>0</v>
      </c>
      <c r="AE18" s="366">
        <f t="shared" si="27"/>
        <v>2019</v>
      </c>
      <c r="AF18" s="393">
        <f t="shared" si="8"/>
        <v>0</v>
      </c>
      <c r="AG18" s="368">
        <f t="shared" si="9"/>
        <v>0</v>
      </c>
      <c r="AH18" s="393">
        <f t="shared" si="43"/>
        <v>0</v>
      </c>
      <c r="AJ18" s="394">
        <f t="shared" si="28"/>
        <v>0</v>
      </c>
      <c r="AK18" s="394">
        <f t="shared" si="28"/>
        <v>0</v>
      </c>
      <c r="AL18" s="395">
        <f t="shared" si="10"/>
        <v>0</v>
      </c>
      <c r="AN18" s="396">
        <f t="shared" si="11"/>
        <v>0</v>
      </c>
      <c r="AQ18" s="366">
        <f t="shared" si="29"/>
        <v>2019</v>
      </c>
      <c r="AR18" s="393">
        <f t="shared" si="12"/>
        <v>0</v>
      </c>
      <c r="AS18" s="393">
        <f t="shared" si="13"/>
        <v>0</v>
      </c>
      <c r="AT18" s="397">
        <f t="shared" si="14"/>
        <v>2.7E-2</v>
      </c>
      <c r="AU18" s="398">
        <f t="shared" si="47"/>
        <v>0</v>
      </c>
      <c r="AV18" s="387">
        <f t="shared" si="15"/>
        <v>0.39200000000000002</v>
      </c>
      <c r="AW18" s="393">
        <f t="shared" si="16"/>
        <v>0</v>
      </c>
      <c r="AX18" s="397"/>
      <c r="AY18" s="399"/>
      <c r="AZ18" s="393">
        <f t="shared" si="30"/>
        <v>0</v>
      </c>
      <c r="BA18" s="381"/>
      <c r="BB18" s="393">
        <v>0</v>
      </c>
      <c r="BC18" s="393">
        <v>0</v>
      </c>
      <c r="BD18" s="400">
        <f t="shared" si="31"/>
        <v>0</v>
      </c>
      <c r="BE18" s="393">
        <f t="shared" si="17"/>
        <v>0</v>
      </c>
      <c r="BH18" s="366">
        <f t="shared" si="32"/>
        <v>2019</v>
      </c>
      <c r="BI18" s="393">
        <v>0</v>
      </c>
      <c r="BJ18" s="369">
        <f t="shared" si="18"/>
        <v>0</v>
      </c>
      <c r="BK18" s="401">
        <f t="shared" si="19"/>
        <v>6.5679999999999996</v>
      </c>
      <c r="BL18" s="393">
        <f t="shared" si="44"/>
        <v>0</v>
      </c>
      <c r="BM18" s="401">
        <f t="shared" si="20"/>
        <v>0.16</v>
      </c>
      <c r="BN18" s="398">
        <f t="shared" si="48"/>
        <v>0</v>
      </c>
      <c r="BO18" s="402"/>
      <c r="BP18" s="393">
        <f t="shared" si="21"/>
        <v>0</v>
      </c>
      <c r="BR18" s="393">
        <f t="shared" si="49"/>
        <v>0</v>
      </c>
      <c r="BS18" s="393"/>
      <c r="BT18" s="393">
        <f t="shared" si="33"/>
        <v>0</v>
      </c>
      <c r="BW18" s="366">
        <f t="shared" si="34"/>
        <v>2019</v>
      </c>
      <c r="BX18" s="393">
        <f t="shared" si="22"/>
        <v>0</v>
      </c>
      <c r="BY18" s="369">
        <f t="shared" si="35"/>
        <v>0</v>
      </c>
      <c r="BZ18" s="403">
        <f t="shared" si="36"/>
        <v>0</v>
      </c>
      <c r="CA18" s="393">
        <f t="shared" si="37"/>
        <v>0</v>
      </c>
      <c r="CC18" s="393">
        <f t="shared" si="38"/>
        <v>0</v>
      </c>
      <c r="CD18" s="393">
        <f t="shared" si="38"/>
        <v>0</v>
      </c>
      <c r="CE18" s="393">
        <f t="shared" si="39"/>
        <v>0</v>
      </c>
      <c r="CF18" s="393"/>
      <c r="CG18" s="393">
        <f t="shared" si="45"/>
        <v>0</v>
      </c>
      <c r="DB18" s="337" t="s">
        <v>42</v>
      </c>
    </row>
    <row r="19" spans="1:106">
      <c r="C19" s="185"/>
      <c r="J19" s="333">
        <f t="shared" si="23"/>
        <v>6</v>
      </c>
      <c r="L19" s="366">
        <f t="shared" si="24"/>
        <v>2020</v>
      </c>
      <c r="M19" s="386">
        <f t="shared" si="46"/>
        <v>0</v>
      </c>
      <c r="N19" s="387">
        <f t="shared" si="40"/>
        <v>3.0609999999999999</v>
      </c>
      <c r="O19" s="388">
        <f t="shared" si="0"/>
        <v>0</v>
      </c>
      <c r="P19" s="387">
        <f t="shared" si="1"/>
        <v>0</v>
      </c>
      <c r="Q19" s="389">
        <f t="shared" si="25"/>
        <v>0</v>
      </c>
      <c r="R19" s="390">
        <f t="shared" si="2"/>
        <v>0</v>
      </c>
      <c r="S19" s="372">
        <f t="shared" si="3"/>
        <v>0</v>
      </c>
      <c r="T19" s="389">
        <f t="shared" si="41"/>
        <v>149</v>
      </c>
      <c r="U19" s="391">
        <f t="shared" si="42"/>
        <v>0</v>
      </c>
      <c r="V19" s="386">
        <f t="shared" si="26"/>
        <v>0</v>
      </c>
      <c r="W19" s="392">
        <f t="shared" si="4"/>
        <v>1.6</v>
      </c>
      <c r="X19" s="393">
        <f t="shared" si="5"/>
        <v>0</v>
      </c>
      <c r="Y19" s="393">
        <v>0</v>
      </c>
      <c r="Z19" s="393">
        <v>0</v>
      </c>
      <c r="AA19" s="389">
        <f t="shared" si="6"/>
        <v>0</v>
      </c>
      <c r="AB19" s="393">
        <f t="shared" si="7"/>
        <v>0</v>
      </c>
      <c r="AE19" s="366">
        <f t="shared" si="27"/>
        <v>2020</v>
      </c>
      <c r="AF19" s="393">
        <f t="shared" si="8"/>
        <v>0</v>
      </c>
      <c r="AG19" s="368">
        <f t="shared" si="9"/>
        <v>0</v>
      </c>
      <c r="AH19" s="393">
        <f t="shared" si="43"/>
        <v>0</v>
      </c>
      <c r="AJ19" s="394">
        <f t="shared" si="28"/>
        <v>0</v>
      </c>
      <c r="AK19" s="394">
        <f t="shared" si="28"/>
        <v>0</v>
      </c>
      <c r="AL19" s="395">
        <f t="shared" si="10"/>
        <v>0</v>
      </c>
      <c r="AN19" s="396">
        <f t="shared" si="11"/>
        <v>0</v>
      </c>
      <c r="AQ19" s="366">
        <f t="shared" si="29"/>
        <v>2020</v>
      </c>
      <c r="AR19" s="393">
        <f t="shared" si="12"/>
        <v>0</v>
      </c>
      <c r="AS19" s="393">
        <f t="shared" si="13"/>
        <v>0</v>
      </c>
      <c r="AT19" s="397">
        <f t="shared" si="14"/>
        <v>2.8000000000000001E-2</v>
      </c>
      <c r="AU19" s="398">
        <f t="shared" si="47"/>
        <v>0</v>
      </c>
      <c r="AV19" s="387">
        <f t="shared" si="15"/>
        <v>0.40100000000000002</v>
      </c>
      <c r="AW19" s="393">
        <f t="shared" si="16"/>
        <v>0</v>
      </c>
      <c r="AX19" s="397"/>
      <c r="AY19" s="399"/>
      <c r="AZ19" s="393">
        <f t="shared" si="30"/>
        <v>0</v>
      </c>
      <c r="BA19" s="381"/>
      <c r="BB19" s="393">
        <v>0</v>
      </c>
      <c r="BC19" s="393">
        <v>0</v>
      </c>
      <c r="BD19" s="400">
        <f t="shared" si="31"/>
        <v>0</v>
      </c>
      <c r="BE19" s="393">
        <f t="shared" si="17"/>
        <v>0</v>
      </c>
      <c r="BH19" s="366">
        <f t="shared" si="32"/>
        <v>2020</v>
      </c>
      <c r="BI19" s="393">
        <v>0</v>
      </c>
      <c r="BJ19" s="369">
        <f t="shared" si="18"/>
        <v>0</v>
      </c>
      <c r="BK19" s="401">
        <f t="shared" si="19"/>
        <v>6.798</v>
      </c>
      <c r="BL19" s="393">
        <f t="shared" si="44"/>
        <v>0</v>
      </c>
      <c r="BM19" s="401">
        <f t="shared" si="20"/>
        <v>0.16600000000000001</v>
      </c>
      <c r="BN19" s="398">
        <f t="shared" si="48"/>
        <v>0</v>
      </c>
      <c r="BO19" s="402"/>
      <c r="BP19" s="393">
        <f t="shared" si="21"/>
        <v>0</v>
      </c>
      <c r="BR19" s="393">
        <f t="shared" si="49"/>
        <v>0</v>
      </c>
      <c r="BS19" s="393"/>
      <c r="BT19" s="393">
        <f t="shared" si="33"/>
        <v>0</v>
      </c>
      <c r="BW19" s="366">
        <f t="shared" si="34"/>
        <v>2020</v>
      </c>
      <c r="BX19" s="393">
        <f t="shared" si="22"/>
        <v>0</v>
      </c>
      <c r="BY19" s="369">
        <f t="shared" si="35"/>
        <v>0</v>
      </c>
      <c r="BZ19" s="403">
        <f t="shared" si="36"/>
        <v>0</v>
      </c>
      <c r="CA19" s="393">
        <f t="shared" si="37"/>
        <v>0</v>
      </c>
      <c r="CC19" s="393">
        <f t="shared" si="38"/>
        <v>0</v>
      </c>
      <c r="CD19" s="393">
        <f t="shared" si="38"/>
        <v>0</v>
      </c>
      <c r="CE19" s="393">
        <f t="shared" si="39"/>
        <v>0</v>
      </c>
      <c r="CF19" s="393"/>
      <c r="CG19" s="393">
        <f t="shared" si="45"/>
        <v>0</v>
      </c>
    </row>
    <row r="20" spans="1:106">
      <c r="A20" s="185" t="s">
        <v>66</v>
      </c>
      <c r="C20" s="406">
        <f>+'Gas Input Table Summary'!$E$14</f>
        <v>142.21</v>
      </c>
      <c r="E20" s="185" t="s">
        <v>67</v>
      </c>
      <c r="F20" s="195">
        <f>+'Gas Input Table Summary'!$E$41</f>
        <v>0</v>
      </c>
      <c r="G20" s="195"/>
      <c r="H20" s="195"/>
      <c r="J20" s="333">
        <f t="shared" si="23"/>
        <v>7</v>
      </c>
      <c r="L20" s="366">
        <f t="shared" si="24"/>
        <v>2021</v>
      </c>
      <c r="M20" s="386">
        <f t="shared" si="46"/>
        <v>0</v>
      </c>
      <c r="N20" s="387">
        <f t="shared" si="40"/>
        <v>3.1680000000000001</v>
      </c>
      <c r="O20" s="388">
        <f t="shared" si="0"/>
        <v>0</v>
      </c>
      <c r="P20" s="387">
        <f t="shared" si="1"/>
        <v>0</v>
      </c>
      <c r="Q20" s="389">
        <f t="shared" si="25"/>
        <v>0</v>
      </c>
      <c r="R20" s="390">
        <f t="shared" si="2"/>
        <v>0</v>
      </c>
      <c r="S20" s="372">
        <f t="shared" si="3"/>
        <v>0</v>
      </c>
      <c r="T20" s="389">
        <f t="shared" si="41"/>
        <v>151</v>
      </c>
      <c r="U20" s="391">
        <f t="shared" si="42"/>
        <v>0</v>
      </c>
      <c r="V20" s="386">
        <f t="shared" si="26"/>
        <v>0</v>
      </c>
      <c r="W20" s="392">
        <f t="shared" si="4"/>
        <v>1.657</v>
      </c>
      <c r="X20" s="393">
        <f t="shared" si="5"/>
        <v>0</v>
      </c>
      <c r="Y20" s="393">
        <v>0</v>
      </c>
      <c r="Z20" s="393">
        <v>0</v>
      </c>
      <c r="AA20" s="389">
        <f t="shared" si="6"/>
        <v>0</v>
      </c>
      <c r="AB20" s="393">
        <f t="shared" si="7"/>
        <v>0</v>
      </c>
      <c r="AE20" s="366">
        <f t="shared" si="27"/>
        <v>2021</v>
      </c>
      <c r="AF20" s="393">
        <f t="shared" si="8"/>
        <v>0</v>
      </c>
      <c r="AG20" s="368">
        <f t="shared" si="9"/>
        <v>0</v>
      </c>
      <c r="AH20" s="393">
        <f t="shared" si="43"/>
        <v>0</v>
      </c>
      <c r="AJ20" s="394">
        <f t="shared" si="28"/>
        <v>0</v>
      </c>
      <c r="AK20" s="394">
        <f t="shared" si="28"/>
        <v>0</v>
      </c>
      <c r="AL20" s="395">
        <f t="shared" si="10"/>
        <v>0</v>
      </c>
      <c r="AN20" s="396">
        <f t="shared" si="11"/>
        <v>0</v>
      </c>
      <c r="AQ20" s="366">
        <f t="shared" si="29"/>
        <v>2021</v>
      </c>
      <c r="AR20" s="393">
        <f t="shared" si="12"/>
        <v>0</v>
      </c>
      <c r="AS20" s="393">
        <f t="shared" si="13"/>
        <v>0</v>
      </c>
      <c r="AT20" s="397">
        <f t="shared" si="14"/>
        <v>2.9000000000000001E-2</v>
      </c>
      <c r="AU20" s="398">
        <f t="shared" si="47"/>
        <v>0</v>
      </c>
      <c r="AV20" s="387">
        <f t="shared" si="15"/>
        <v>0.41</v>
      </c>
      <c r="AW20" s="393">
        <f t="shared" si="16"/>
        <v>0</v>
      </c>
      <c r="AX20" s="397"/>
      <c r="AY20" s="399"/>
      <c r="AZ20" s="393">
        <f t="shared" si="30"/>
        <v>0</v>
      </c>
      <c r="BA20" s="381"/>
      <c r="BB20" s="393">
        <v>0</v>
      </c>
      <c r="BC20" s="393">
        <v>0</v>
      </c>
      <c r="BD20" s="400">
        <f t="shared" si="31"/>
        <v>0</v>
      </c>
      <c r="BE20" s="393">
        <f t="shared" si="17"/>
        <v>0</v>
      </c>
      <c r="BH20" s="366">
        <f t="shared" si="32"/>
        <v>2021</v>
      </c>
      <c r="BI20" s="393">
        <v>0</v>
      </c>
      <c r="BJ20" s="369">
        <f t="shared" si="18"/>
        <v>0</v>
      </c>
      <c r="BK20" s="401">
        <f t="shared" si="19"/>
        <v>7.0359999999999996</v>
      </c>
      <c r="BL20" s="393">
        <f t="shared" si="44"/>
        <v>0</v>
      </c>
      <c r="BM20" s="401">
        <f t="shared" si="20"/>
        <v>0.17199999999999999</v>
      </c>
      <c r="BN20" s="398">
        <f t="shared" si="48"/>
        <v>0</v>
      </c>
      <c r="BO20" s="402"/>
      <c r="BP20" s="393">
        <f t="shared" si="21"/>
        <v>0</v>
      </c>
      <c r="BR20" s="393">
        <f t="shared" si="49"/>
        <v>0</v>
      </c>
      <c r="BS20" s="393"/>
      <c r="BT20" s="393">
        <f t="shared" si="33"/>
        <v>0</v>
      </c>
      <c r="BW20" s="366">
        <f t="shared" si="34"/>
        <v>2021</v>
      </c>
      <c r="BX20" s="393">
        <f t="shared" si="22"/>
        <v>0</v>
      </c>
      <c r="BY20" s="369">
        <f t="shared" si="35"/>
        <v>0</v>
      </c>
      <c r="BZ20" s="403">
        <f t="shared" si="36"/>
        <v>0</v>
      </c>
      <c r="CA20" s="393">
        <f t="shared" si="37"/>
        <v>0</v>
      </c>
      <c r="CC20" s="393">
        <f t="shared" si="38"/>
        <v>0</v>
      </c>
      <c r="CD20" s="393">
        <f t="shared" si="38"/>
        <v>0</v>
      </c>
      <c r="CE20" s="393">
        <f t="shared" si="39"/>
        <v>0</v>
      </c>
      <c r="CF20" s="393"/>
      <c r="CG20" s="393">
        <f t="shared" si="45"/>
        <v>0</v>
      </c>
      <c r="DB20" s="366"/>
    </row>
    <row r="21" spans="1:106">
      <c r="A21" s="185" t="s">
        <v>18</v>
      </c>
      <c r="C21" s="358">
        <f>+'Gas Input Table Summary'!$E$15</f>
        <v>0.01</v>
      </c>
      <c r="E21" s="187" t="s">
        <v>65</v>
      </c>
      <c r="F21" s="405">
        <f>+'Gas Input Table Summary'!$E$44</f>
        <v>0</v>
      </c>
      <c r="G21" s="405"/>
      <c r="H21" s="405"/>
      <c r="J21" s="333">
        <f t="shared" si="23"/>
        <v>8</v>
      </c>
      <c r="L21" s="366">
        <f t="shared" si="24"/>
        <v>2022</v>
      </c>
      <c r="M21" s="386">
        <f t="shared" si="46"/>
        <v>0</v>
      </c>
      <c r="N21" s="387">
        <f t="shared" si="40"/>
        <v>3.2789999999999999</v>
      </c>
      <c r="O21" s="388">
        <f t="shared" si="0"/>
        <v>0</v>
      </c>
      <c r="P21" s="387">
        <f t="shared" si="1"/>
        <v>0</v>
      </c>
      <c r="Q21" s="389">
        <f t="shared" si="25"/>
        <v>0</v>
      </c>
      <c r="R21" s="390">
        <f t="shared" si="2"/>
        <v>0</v>
      </c>
      <c r="S21" s="372">
        <f t="shared" si="3"/>
        <v>0</v>
      </c>
      <c r="T21" s="389">
        <f t="shared" si="41"/>
        <v>152</v>
      </c>
      <c r="U21" s="391">
        <f t="shared" si="42"/>
        <v>0</v>
      </c>
      <c r="V21" s="386">
        <f t="shared" si="26"/>
        <v>0</v>
      </c>
      <c r="W21" s="392">
        <f t="shared" si="4"/>
        <v>1.714</v>
      </c>
      <c r="X21" s="393">
        <f t="shared" si="5"/>
        <v>0</v>
      </c>
      <c r="Y21" s="393">
        <v>0</v>
      </c>
      <c r="Z21" s="393">
        <v>0</v>
      </c>
      <c r="AA21" s="389">
        <f t="shared" si="6"/>
        <v>0</v>
      </c>
      <c r="AB21" s="393">
        <f t="shared" si="7"/>
        <v>0</v>
      </c>
      <c r="AE21" s="366">
        <f t="shared" si="27"/>
        <v>2022</v>
      </c>
      <c r="AF21" s="393">
        <f t="shared" si="8"/>
        <v>0</v>
      </c>
      <c r="AG21" s="368">
        <f t="shared" si="9"/>
        <v>0</v>
      </c>
      <c r="AH21" s="393">
        <f t="shared" si="43"/>
        <v>0</v>
      </c>
      <c r="AJ21" s="394">
        <f t="shared" si="28"/>
        <v>0</v>
      </c>
      <c r="AK21" s="394">
        <f t="shared" si="28"/>
        <v>0</v>
      </c>
      <c r="AL21" s="395">
        <f t="shared" si="10"/>
        <v>0</v>
      </c>
      <c r="AN21" s="396">
        <f t="shared" si="11"/>
        <v>0</v>
      </c>
      <c r="AQ21" s="366">
        <f t="shared" si="29"/>
        <v>2022</v>
      </c>
      <c r="AR21" s="393">
        <f t="shared" si="12"/>
        <v>0</v>
      </c>
      <c r="AS21" s="393">
        <f t="shared" si="13"/>
        <v>0</v>
      </c>
      <c r="AT21" s="397">
        <f t="shared" si="14"/>
        <v>0.03</v>
      </c>
      <c r="AU21" s="398">
        <f t="shared" si="47"/>
        <v>0</v>
      </c>
      <c r="AV21" s="387">
        <f t="shared" si="15"/>
        <v>0.42</v>
      </c>
      <c r="AW21" s="393">
        <f t="shared" si="16"/>
        <v>0</v>
      </c>
      <c r="AX21" s="397"/>
      <c r="AY21" s="399"/>
      <c r="AZ21" s="393">
        <f t="shared" si="30"/>
        <v>0</v>
      </c>
      <c r="BA21" s="381"/>
      <c r="BB21" s="393">
        <v>0</v>
      </c>
      <c r="BC21" s="393">
        <v>0</v>
      </c>
      <c r="BD21" s="400">
        <f t="shared" si="31"/>
        <v>0</v>
      </c>
      <c r="BE21" s="393">
        <f t="shared" si="17"/>
        <v>0</v>
      </c>
      <c r="BH21" s="366">
        <f t="shared" si="32"/>
        <v>2022</v>
      </c>
      <c r="BI21" s="393">
        <v>0</v>
      </c>
      <c r="BJ21" s="369">
        <f t="shared" si="18"/>
        <v>0</v>
      </c>
      <c r="BK21" s="401">
        <f t="shared" si="19"/>
        <v>7.282</v>
      </c>
      <c r="BL21" s="393">
        <f t="shared" si="44"/>
        <v>0</v>
      </c>
      <c r="BM21" s="401">
        <f t="shared" si="20"/>
        <v>0.17799999999999999</v>
      </c>
      <c r="BN21" s="398">
        <f t="shared" si="48"/>
        <v>0</v>
      </c>
      <c r="BO21" s="402"/>
      <c r="BP21" s="393">
        <f t="shared" si="21"/>
        <v>0</v>
      </c>
      <c r="BR21" s="393">
        <f t="shared" si="49"/>
        <v>0</v>
      </c>
      <c r="BS21" s="393"/>
      <c r="BT21" s="393">
        <f t="shared" si="33"/>
        <v>0</v>
      </c>
      <c r="BW21" s="366">
        <f t="shared" si="34"/>
        <v>2022</v>
      </c>
      <c r="BX21" s="393">
        <f t="shared" si="22"/>
        <v>0</v>
      </c>
      <c r="BY21" s="369">
        <f t="shared" si="35"/>
        <v>0</v>
      </c>
      <c r="BZ21" s="403">
        <f t="shared" si="36"/>
        <v>0</v>
      </c>
      <c r="CA21" s="393">
        <f t="shared" si="37"/>
        <v>0</v>
      </c>
      <c r="CC21" s="393">
        <f t="shared" si="38"/>
        <v>0</v>
      </c>
      <c r="CD21" s="393">
        <f t="shared" si="38"/>
        <v>0</v>
      </c>
      <c r="CE21" s="393">
        <f t="shared" si="39"/>
        <v>0</v>
      </c>
      <c r="CF21" s="393"/>
      <c r="CG21" s="393">
        <f t="shared" si="45"/>
        <v>0</v>
      </c>
      <c r="DB21" s="333">
        <f>$J14</f>
        <v>1</v>
      </c>
    </row>
    <row r="22" spans="1:106">
      <c r="F22" s="368"/>
      <c r="G22" s="368"/>
      <c r="H22" s="368"/>
      <c r="J22" s="333">
        <f t="shared" si="23"/>
        <v>9</v>
      </c>
      <c r="L22" s="366">
        <f t="shared" si="24"/>
        <v>2023</v>
      </c>
      <c r="M22" s="386">
        <f t="shared" si="46"/>
        <v>0</v>
      </c>
      <c r="N22" s="387">
        <f t="shared" si="40"/>
        <v>3.3929999999999998</v>
      </c>
      <c r="O22" s="388">
        <f t="shared" si="0"/>
        <v>0</v>
      </c>
      <c r="P22" s="387">
        <f t="shared" si="1"/>
        <v>0</v>
      </c>
      <c r="Q22" s="389">
        <f t="shared" si="25"/>
        <v>0</v>
      </c>
      <c r="R22" s="390">
        <f t="shared" si="2"/>
        <v>0</v>
      </c>
      <c r="S22" s="372">
        <f t="shared" si="3"/>
        <v>0</v>
      </c>
      <c r="T22" s="389">
        <f t="shared" si="41"/>
        <v>154</v>
      </c>
      <c r="U22" s="391">
        <f t="shared" si="42"/>
        <v>0</v>
      </c>
      <c r="V22" s="386">
        <f t="shared" si="26"/>
        <v>0</v>
      </c>
      <c r="W22" s="392">
        <f t="shared" si="4"/>
        <v>1.774</v>
      </c>
      <c r="X22" s="393">
        <f t="shared" si="5"/>
        <v>0</v>
      </c>
      <c r="Y22" s="393">
        <v>0</v>
      </c>
      <c r="Z22" s="393">
        <v>0</v>
      </c>
      <c r="AA22" s="389">
        <f t="shared" si="6"/>
        <v>0</v>
      </c>
      <c r="AB22" s="393">
        <f t="shared" si="7"/>
        <v>0</v>
      </c>
      <c r="AE22" s="366">
        <f t="shared" si="27"/>
        <v>2023</v>
      </c>
      <c r="AF22" s="393">
        <f t="shared" si="8"/>
        <v>0</v>
      </c>
      <c r="AG22" s="368">
        <f t="shared" si="9"/>
        <v>0</v>
      </c>
      <c r="AH22" s="393">
        <f t="shared" si="43"/>
        <v>0</v>
      </c>
      <c r="AJ22" s="394">
        <f t="shared" si="28"/>
        <v>0</v>
      </c>
      <c r="AK22" s="394">
        <f t="shared" si="28"/>
        <v>0</v>
      </c>
      <c r="AL22" s="395">
        <f t="shared" si="10"/>
        <v>0</v>
      </c>
      <c r="AN22" s="396">
        <f t="shared" si="11"/>
        <v>0</v>
      </c>
      <c r="AQ22" s="366">
        <f t="shared" si="29"/>
        <v>2023</v>
      </c>
      <c r="AR22" s="393">
        <f t="shared" si="12"/>
        <v>0</v>
      </c>
      <c r="AS22" s="393">
        <f t="shared" si="13"/>
        <v>0</v>
      </c>
      <c r="AT22" s="397">
        <f t="shared" si="14"/>
        <v>3.1E-2</v>
      </c>
      <c r="AU22" s="398">
        <f t="shared" si="47"/>
        <v>0</v>
      </c>
      <c r="AV22" s="387">
        <f t="shared" si="15"/>
        <v>0.42899999999999999</v>
      </c>
      <c r="AW22" s="393">
        <f t="shared" si="16"/>
        <v>0</v>
      </c>
      <c r="AX22" s="397"/>
      <c r="AY22" s="399"/>
      <c r="AZ22" s="393">
        <f t="shared" si="30"/>
        <v>0</v>
      </c>
      <c r="BA22" s="381"/>
      <c r="BB22" s="393">
        <v>0</v>
      </c>
      <c r="BC22" s="393">
        <v>0</v>
      </c>
      <c r="BD22" s="400">
        <f t="shared" si="31"/>
        <v>0</v>
      </c>
      <c r="BE22" s="393">
        <f t="shared" si="17"/>
        <v>0</v>
      </c>
      <c r="BH22" s="366">
        <f t="shared" si="32"/>
        <v>2023</v>
      </c>
      <c r="BI22" s="393">
        <v>0</v>
      </c>
      <c r="BJ22" s="369">
        <f t="shared" si="18"/>
        <v>0</v>
      </c>
      <c r="BK22" s="401">
        <f t="shared" si="19"/>
        <v>7.5369999999999999</v>
      </c>
      <c r="BL22" s="393">
        <f t="shared" si="44"/>
        <v>0</v>
      </c>
      <c r="BM22" s="401">
        <f t="shared" si="20"/>
        <v>0.184</v>
      </c>
      <c r="BN22" s="398">
        <f t="shared" si="48"/>
        <v>0</v>
      </c>
      <c r="BO22" s="402"/>
      <c r="BP22" s="393">
        <f t="shared" si="21"/>
        <v>0</v>
      </c>
      <c r="BR22" s="393">
        <f t="shared" si="49"/>
        <v>0</v>
      </c>
      <c r="BS22" s="393"/>
      <c r="BT22" s="393">
        <f t="shared" si="33"/>
        <v>0</v>
      </c>
      <c r="BW22" s="366">
        <f t="shared" si="34"/>
        <v>2023</v>
      </c>
      <c r="BX22" s="393">
        <f t="shared" si="22"/>
        <v>0</v>
      </c>
      <c r="BY22" s="369">
        <f t="shared" si="35"/>
        <v>0</v>
      </c>
      <c r="BZ22" s="403">
        <f t="shared" si="36"/>
        <v>0</v>
      </c>
      <c r="CA22" s="393">
        <f t="shared" si="37"/>
        <v>0</v>
      </c>
      <c r="CC22" s="393">
        <f t="shared" si="38"/>
        <v>0</v>
      </c>
      <c r="CD22" s="393">
        <f t="shared" si="38"/>
        <v>0</v>
      </c>
      <c r="CE22" s="393">
        <f t="shared" si="39"/>
        <v>0</v>
      </c>
      <c r="CF22" s="393"/>
      <c r="CG22" s="393">
        <f t="shared" si="45"/>
        <v>0</v>
      </c>
      <c r="DB22" s="333">
        <f>$J15</f>
        <v>2</v>
      </c>
    </row>
    <row r="23" spans="1:106">
      <c r="A23" s="185" t="s">
        <v>68</v>
      </c>
      <c r="C23" s="407">
        <f>+'Gas Input Table Summary'!$E$16</f>
        <v>0.01</v>
      </c>
      <c r="E23" s="185" t="s">
        <v>69</v>
      </c>
      <c r="F23" s="408">
        <f>ROUND('Database Inputs'!D18,0)</f>
        <v>15</v>
      </c>
      <c r="G23" s="408"/>
      <c r="H23" s="408"/>
      <c r="J23" s="333">
        <f t="shared" si="23"/>
        <v>10</v>
      </c>
      <c r="L23" s="366">
        <f t="shared" si="24"/>
        <v>2024</v>
      </c>
      <c r="M23" s="386">
        <f t="shared" si="46"/>
        <v>0</v>
      </c>
      <c r="N23" s="387">
        <f t="shared" si="40"/>
        <v>3.512</v>
      </c>
      <c r="O23" s="388">
        <f t="shared" si="0"/>
        <v>0</v>
      </c>
      <c r="P23" s="387">
        <f t="shared" si="1"/>
        <v>0</v>
      </c>
      <c r="Q23" s="389">
        <f t="shared" si="25"/>
        <v>0</v>
      </c>
      <c r="R23" s="390">
        <f t="shared" si="2"/>
        <v>0</v>
      </c>
      <c r="S23" s="372">
        <f t="shared" si="3"/>
        <v>0</v>
      </c>
      <c r="T23" s="389">
        <f t="shared" si="41"/>
        <v>156</v>
      </c>
      <c r="U23" s="391">
        <f t="shared" si="42"/>
        <v>0</v>
      </c>
      <c r="V23" s="386">
        <f t="shared" si="26"/>
        <v>0</v>
      </c>
      <c r="W23" s="392">
        <f t="shared" si="4"/>
        <v>1.837</v>
      </c>
      <c r="X23" s="393">
        <f t="shared" si="5"/>
        <v>0</v>
      </c>
      <c r="Y23" s="393">
        <v>0</v>
      </c>
      <c r="Z23" s="393">
        <v>0</v>
      </c>
      <c r="AA23" s="389">
        <f t="shared" si="6"/>
        <v>0</v>
      </c>
      <c r="AB23" s="393">
        <f t="shared" si="7"/>
        <v>0</v>
      </c>
      <c r="AE23" s="366">
        <f t="shared" si="27"/>
        <v>2024</v>
      </c>
      <c r="AF23" s="393">
        <f t="shared" si="8"/>
        <v>0</v>
      </c>
      <c r="AG23" s="368">
        <f t="shared" si="9"/>
        <v>0</v>
      </c>
      <c r="AH23" s="393">
        <f t="shared" si="43"/>
        <v>0</v>
      </c>
      <c r="AJ23" s="394">
        <f t="shared" si="28"/>
        <v>0</v>
      </c>
      <c r="AK23" s="394">
        <f t="shared" si="28"/>
        <v>0</v>
      </c>
      <c r="AL23" s="395">
        <f t="shared" si="10"/>
        <v>0</v>
      </c>
      <c r="AN23" s="396">
        <f t="shared" si="11"/>
        <v>0</v>
      </c>
      <c r="AQ23" s="366">
        <f t="shared" si="29"/>
        <v>2024</v>
      </c>
      <c r="AR23" s="393">
        <f t="shared" si="12"/>
        <v>0</v>
      </c>
      <c r="AS23" s="393">
        <f t="shared" si="13"/>
        <v>0</v>
      </c>
      <c r="AT23" s="397">
        <f t="shared" si="14"/>
        <v>3.2000000000000001E-2</v>
      </c>
      <c r="AU23" s="398">
        <f t="shared" si="47"/>
        <v>0</v>
      </c>
      <c r="AV23" s="387">
        <f t="shared" si="15"/>
        <v>0.439</v>
      </c>
      <c r="AW23" s="393">
        <f t="shared" si="16"/>
        <v>0</v>
      </c>
      <c r="AX23" s="397"/>
      <c r="AY23" s="399"/>
      <c r="AZ23" s="393">
        <f t="shared" si="30"/>
        <v>0</v>
      </c>
      <c r="BA23" s="381"/>
      <c r="BB23" s="393">
        <v>0</v>
      </c>
      <c r="BC23" s="393">
        <v>0</v>
      </c>
      <c r="BD23" s="400">
        <f t="shared" si="31"/>
        <v>0</v>
      </c>
      <c r="BE23" s="393">
        <f t="shared" si="17"/>
        <v>0</v>
      </c>
      <c r="BH23" s="366">
        <f t="shared" si="32"/>
        <v>2024</v>
      </c>
      <c r="BI23" s="393">
        <v>0</v>
      </c>
      <c r="BJ23" s="369">
        <f t="shared" si="18"/>
        <v>0</v>
      </c>
      <c r="BK23" s="401">
        <f t="shared" si="19"/>
        <v>7.8010000000000002</v>
      </c>
      <c r="BL23" s="393">
        <f t="shared" si="44"/>
        <v>0</v>
      </c>
      <c r="BM23" s="401">
        <f t="shared" si="20"/>
        <v>0.19</v>
      </c>
      <c r="BN23" s="398">
        <f t="shared" si="48"/>
        <v>0</v>
      </c>
      <c r="BO23" s="402"/>
      <c r="BP23" s="393">
        <f t="shared" si="21"/>
        <v>0</v>
      </c>
      <c r="BR23" s="393">
        <f t="shared" si="49"/>
        <v>0</v>
      </c>
      <c r="BS23" s="393"/>
      <c r="BT23" s="393">
        <f t="shared" si="33"/>
        <v>0</v>
      </c>
      <c r="BW23" s="366">
        <f t="shared" si="34"/>
        <v>2024</v>
      </c>
      <c r="BX23" s="393">
        <f t="shared" si="22"/>
        <v>0</v>
      </c>
      <c r="BY23" s="369">
        <f t="shared" si="35"/>
        <v>0</v>
      </c>
      <c r="BZ23" s="403">
        <f t="shared" si="36"/>
        <v>0</v>
      </c>
      <c r="CA23" s="393">
        <f t="shared" si="37"/>
        <v>0</v>
      </c>
      <c r="CC23" s="393">
        <f t="shared" si="38"/>
        <v>0</v>
      </c>
      <c r="CD23" s="393">
        <f t="shared" si="38"/>
        <v>0</v>
      </c>
      <c r="CE23" s="393">
        <f t="shared" si="39"/>
        <v>0</v>
      </c>
      <c r="CF23" s="393"/>
      <c r="CG23" s="393">
        <f t="shared" si="45"/>
        <v>0</v>
      </c>
      <c r="DB23" s="333">
        <f>$J16</f>
        <v>3</v>
      </c>
    </row>
    <row r="24" spans="1:106">
      <c r="F24" s="368"/>
      <c r="G24" s="368"/>
      <c r="H24" s="368"/>
      <c r="J24" s="333">
        <f t="shared" si="23"/>
        <v>11</v>
      </c>
      <c r="L24" s="366">
        <f t="shared" si="24"/>
        <v>2025</v>
      </c>
      <c r="M24" s="386">
        <f t="shared" si="46"/>
        <v>0</v>
      </c>
      <c r="N24" s="387">
        <f t="shared" si="40"/>
        <v>3.6349999999999998</v>
      </c>
      <c r="O24" s="388">
        <f t="shared" si="0"/>
        <v>0</v>
      </c>
      <c r="P24" s="387">
        <f t="shared" si="1"/>
        <v>0</v>
      </c>
      <c r="Q24" s="389">
        <f t="shared" si="25"/>
        <v>0</v>
      </c>
      <c r="R24" s="390">
        <f t="shared" si="2"/>
        <v>0</v>
      </c>
      <c r="S24" s="372">
        <f t="shared" si="3"/>
        <v>0</v>
      </c>
      <c r="T24" s="389">
        <f t="shared" si="41"/>
        <v>157</v>
      </c>
      <c r="U24" s="391">
        <f t="shared" si="42"/>
        <v>0</v>
      </c>
      <c r="V24" s="386">
        <f t="shared" si="26"/>
        <v>0</v>
      </c>
      <c r="W24" s="392">
        <f t="shared" si="4"/>
        <v>1.901</v>
      </c>
      <c r="X24" s="393">
        <f t="shared" si="5"/>
        <v>0</v>
      </c>
      <c r="Y24" s="393">
        <v>0</v>
      </c>
      <c r="Z24" s="393">
        <v>0</v>
      </c>
      <c r="AA24" s="389">
        <f t="shared" si="6"/>
        <v>0</v>
      </c>
      <c r="AB24" s="393">
        <f t="shared" si="7"/>
        <v>0</v>
      </c>
      <c r="AE24" s="366">
        <f t="shared" si="27"/>
        <v>2025</v>
      </c>
      <c r="AF24" s="393">
        <f t="shared" si="8"/>
        <v>0</v>
      </c>
      <c r="AG24" s="368">
        <f t="shared" si="9"/>
        <v>0</v>
      </c>
      <c r="AH24" s="393">
        <f t="shared" si="43"/>
        <v>0</v>
      </c>
      <c r="AJ24" s="394">
        <f t="shared" si="28"/>
        <v>0</v>
      </c>
      <c r="AK24" s="394">
        <f t="shared" si="28"/>
        <v>0</v>
      </c>
      <c r="AL24" s="395">
        <f t="shared" si="10"/>
        <v>0</v>
      </c>
      <c r="AN24" s="396">
        <f t="shared" si="11"/>
        <v>0</v>
      </c>
      <c r="AQ24" s="366">
        <f t="shared" si="29"/>
        <v>2025</v>
      </c>
      <c r="AR24" s="393">
        <f t="shared" si="12"/>
        <v>0</v>
      </c>
      <c r="AS24" s="393">
        <f t="shared" si="13"/>
        <v>0</v>
      </c>
      <c r="AT24" s="397">
        <f t="shared" si="14"/>
        <v>3.4000000000000002E-2</v>
      </c>
      <c r="AU24" s="398">
        <f t="shared" si="47"/>
        <v>0</v>
      </c>
      <c r="AV24" s="387">
        <f t="shared" si="15"/>
        <v>0.44900000000000001</v>
      </c>
      <c r="AW24" s="393">
        <f t="shared" si="16"/>
        <v>0</v>
      </c>
      <c r="AX24" s="397"/>
      <c r="AY24" s="399"/>
      <c r="AZ24" s="393">
        <f t="shared" si="30"/>
        <v>0</v>
      </c>
      <c r="BA24" s="381"/>
      <c r="BB24" s="393">
        <v>0</v>
      </c>
      <c r="BC24" s="393">
        <v>0</v>
      </c>
      <c r="BD24" s="400">
        <f t="shared" si="31"/>
        <v>0</v>
      </c>
      <c r="BE24" s="393">
        <f t="shared" si="17"/>
        <v>0</v>
      </c>
      <c r="BH24" s="366">
        <f t="shared" si="32"/>
        <v>2025</v>
      </c>
      <c r="BI24" s="393">
        <v>0</v>
      </c>
      <c r="BJ24" s="369">
        <f t="shared" si="18"/>
        <v>0</v>
      </c>
      <c r="BK24" s="401">
        <f t="shared" si="19"/>
        <v>8.0739999999999998</v>
      </c>
      <c r="BL24" s="393">
        <f t="shared" si="44"/>
        <v>0</v>
      </c>
      <c r="BM24" s="401">
        <f t="shared" si="20"/>
        <v>0.19700000000000001</v>
      </c>
      <c r="BN24" s="398">
        <f t="shared" si="48"/>
        <v>0</v>
      </c>
      <c r="BO24" s="402"/>
      <c r="BP24" s="393">
        <f t="shared" si="21"/>
        <v>0</v>
      </c>
      <c r="BR24" s="393">
        <f t="shared" si="49"/>
        <v>0</v>
      </c>
      <c r="BS24" s="393"/>
      <c r="BT24" s="393">
        <f t="shared" si="33"/>
        <v>0</v>
      </c>
      <c r="BW24" s="366">
        <f t="shared" si="34"/>
        <v>2025</v>
      </c>
      <c r="BX24" s="393">
        <f t="shared" si="22"/>
        <v>0</v>
      </c>
      <c r="BY24" s="369">
        <f t="shared" si="35"/>
        <v>0</v>
      </c>
      <c r="BZ24" s="403">
        <f t="shared" si="36"/>
        <v>0</v>
      </c>
      <c r="CA24" s="393">
        <f t="shared" si="37"/>
        <v>0</v>
      </c>
      <c r="CC24" s="393">
        <f t="shared" si="38"/>
        <v>0</v>
      </c>
      <c r="CD24" s="393">
        <f t="shared" si="38"/>
        <v>0</v>
      </c>
      <c r="CE24" s="393">
        <f t="shared" si="39"/>
        <v>0</v>
      </c>
      <c r="CF24" s="393"/>
      <c r="CG24" s="393">
        <f t="shared" si="45"/>
        <v>0</v>
      </c>
      <c r="DB24" s="333">
        <f>$J17</f>
        <v>4</v>
      </c>
    </row>
    <row r="25" spans="1:106">
      <c r="A25" s="187" t="s">
        <v>106</v>
      </c>
      <c r="C25" s="356">
        <f>+'Gas Input Table Summary'!$E$17</f>
        <v>0</v>
      </c>
      <c r="E25" s="193" t="s">
        <v>102</v>
      </c>
      <c r="F25" s="197">
        <v>0</v>
      </c>
      <c r="G25" s="197"/>
      <c r="H25" s="197"/>
      <c r="J25" s="333">
        <f t="shared" si="23"/>
        <v>12</v>
      </c>
      <c r="L25" s="366">
        <f t="shared" si="24"/>
        <v>2026</v>
      </c>
      <c r="M25" s="386">
        <f t="shared" si="46"/>
        <v>0</v>
      </c>
      <c r="N25" s="387">
        <f t="shared" si="40"/>
        <v>3.762</v>
      </c>
      <c r="O25" s="388">
        <f t="shared" si="0"/>
        <v>0</v>
      </c>
      <c r="P25" s="387">
        <f t="shared" si="1"/>
        <v>0</v>
      </c>
      <c r="Q25" s="389">
        <f t="shared" si="25"/>
        <v>0</v>
      </c>
      <c r="R25" s="390">
        <f t="shared" si="2"/>
        <v>0</v>
      </c>
      <c r="S25" s="372">
        <f t="shared" si="3"/>
        <v>0</v>
      </c>
      <c r="T25" s="389">
        <f t="shared" si="41"/>
        <v>159</v>
      </c>
      <c r="U25" s="391">
        <f t="shared" si="42"/>
        <v>0</v>
      </c>
      <c r="V25" s="386">
        <f t="shared" si="26"/>
        <v>0</v>
      </c>
      <c r="W25" s="392">
        <f t="shared" si="4"/>
        <v>1.9670000000000001</v>
      </c>
      <c r="X25" s="393">
        <f t="shared" si="5"/>
        <v>0</v>
      </c>
      <c r="Y25" s="393">
        <v>0</v>
      </c>
      <c r="Z25" s="393">
        <v>0</v>
      </c>
      <c r="AA25" s="389">
        <f t="shared" si="6"/>
        <v>0</v>
      </c>
      <c r="AB25" s="393">
        <f t="shared" si="7"/>
        <v>0</v>
      </c>
      <c r="AE25" s="366">
        <f t="shared" si="27"/>
        <v>2026</v>
      </c>
      <c r="AF25" s="393">
        <f t="shared" si="8"/>
        <v>0</v>
      </c>
      <c r="AG25" s="368">
        <f t="shared" si="9"/>
        <v>0</v>
      </c>
      <c r="AH25" s="393">
        <f t="shared" si="43"/>
        <v>0</v>
      </c>
      <c r="AJ25" s="394">
        <f t="shared" si="28"/>
        <v>0</v>
      </c>
      <c r="AK25" s="394">
        <f t="shared" si="28"/>
        <v>0</v>
      </c>
      <c r="AL25" s="395">
        <f t="shared" si="10"/>
        <v>0</v>
      </c>
      <c r="AN25" s="396">
        <f t="shared" si="11"/>
        <v>0</v>
      </c>
      <c r="AQ25" s="366">
        <f t="shared" si="29"/>
        <v>2026</v>
      </c>
      <c r="AR25" s="393">
        <f t="shared" si="12"/>
        <v>0</v>
      </c>
      <c r="AS25" s="393">
        <f t="shared" si="13"/>
        <v>0</v>
      </c>
      <c r="AT25" s="397">
        <f t="shared" si="14"/>
        <v>3.5000000000000003E-2</v>
      </c>
      <c r="AU25" s="398">
        <f t="shared" si="47"/>
        <v>0</v>
      </c>
      <c r="AV25" s="387">
        <f t="shared" si="15"/>
        <v>0.46</v>
      </c>
      <c r="AW25" s="393">
        <f t="shared" si="16"/>
        <v>0</v>
      </c>
      <c r="AX25" s="397"/>
      <c r="AY25" s="399"/>
      <c r="AZ25" s="393">
        <f t="shared" si="30"/>
        <v>0</v>
      </c>
      <c r="BA25" s="381"/>
      <c r="BB25" s="393">
        <v>0</v>
      </c>
      <c r="BC25" s="393">
        <v>0</v>
      </c>
      <c r="BD25" s="400">
        <f t="shared" si="31"/>
        <v>0</v>
      </c>
      <c r="BE25" s="393">
        <f t="shared" si="17"/>
        <v>0</v>
      </c>
      <c r="BH25" s="366">
        <f t="shared" si="32"/>
        <v>2026</v>
      </c>
      <c r="BI25" s="393">
        <v>0</v>
      </c>
      <c r="BJ25" s="369">
        <f t="shared" si="18"/>
        <v>0</v>
      </c>
      <c r="BK25" s="401">
        <f t="shared" si="19"/>
        <v>8.3559999999999999</v>
      </c>
      <c r="BL25" s="393">
        <f t="shared" si="44"/>
        <v>0</v>
      </c>
      <c r="BM25" s="401">
        <f t="shared" si="20"/>
        <v>0.20399999999999999</v>
      </c>
      <c r="BN25" s="398">
        <f t="shared" si="48"/>
        <v>0</v>
      </c>
      <c r="BO25" s="402"/>
      <c r="BP25" s="393">
        <f t="shared" si="21"/>
        <v>0</v>
      </c>
      <c r="BR25" s="393">
        <f t="shared" si="49"/>
        <v>0</v>
      </c>
      <c r="BS25" s="393"/>
      <c r="BT25" s="393">
        <f t="shared" si="33"/>
        <v>0</v>
      </c>
      <c r="BW25" s="366">
        <f t="shared" si="34"/>
        <v>2026</v>
      </c>
      <c r="BX25" s="393">
        <f t="shared" si="22"/>
        <v>0</v>
      </c>
      <c r="BY25" s="369">
        <f t="shared" si="35"/>
        <v>0</v>
      </c>
      <c r="BZ25" s="403">
        <f t="shared" si="36"/>
        <v>0</v>
      </c>
      <c r="CA25" s="393">
        <f t="shared" si="37"/>
        <v>0</v>
      </c>
      <c r="CC25" s="393">
        <f t="shared" si="38"/>
        <v>0</v>
      </c>
      <c r="CD25" s="393">
        <f t="shared" si="38"/>
        <v>0</v>
      </c>
      <c r="CE25" s="393">
        <f t="shared" si="39"/>
        <v>0</v>
      </c>
      <c r="CF25" s="393"/>
      <c r="CG25" s="393">
        <f t="shared" si="45"/>
        <v>0</v>
      </c>
      <c r="DB25" s="333"/>
    </row>
    <row r="26" spans="1:106">
      <c r="A26" s="185" t="s">
        <v>18</v>
      </c>
      <c r="C26" s="358">
        <f>+'Gas Input Table Summary'!$E$18</f>
        <v>0</v>
      </c>
      <c r="F26" s="368"/>
      <c r="G26" s="368"/>
      <c r="H26" s="368"/>
      <c r="J26" s="333">
        <f t="shared" si="23"/>
        <v>13</v>
      </c>
      <c r="L26" s="366">
        <f t="shared" si="24"/>
        <v>2027</v>
      </c>
      <c r="M26" s="386">
        <f t="shared" si="46"/>
        <v>0</v>
      </c>
      <c r="N26" s="387">
        <f t="shared" si="40"/>
        <v>3.8940000000000001</v>
      </c>
      <c r="O26" s="388">
        <f t="shared" si="0"/>
        <v>0</v>
      </c>
      <c r="P26" s="387">
        <f t="shared" si="1"/>
        <v>0</v>
      </c>
      <c r="Q26" s="389">
        <f t="shared" si="25"/>
        <v>0</v>
      </c>
      <c r="R26" s="390">
        <f t="shared" si="2"/>
        <v>0</v>
      </c>
      <c r="S26" s="372">
        <f t="shared" si="3"/>
        <v>0</v>
      </c>
      <c r="T26" s="389">
        <f t="shared" si="41"/>
        <v>160</v>
      </c>
      <c r="U26" s="391">
        <f t="shared" si="42"/>
        <v>0</v>
      </c>
      <c r="V26" s="386">
        <f t="shared" si="26"/>
        <v>0</v>
      </c>
      <c r="W26" s="392">
        <f t="shared" si="4"/>
        <v>2.036</v>
      </c>
      <c r="X26" s="393">
        <f t="shared" si="5"/>
        <v>0</v>
      </c>
      <c r="Y26" s="393">
        <v>0</v>
      </c>
      <c r="Z26" s="393">
        <v>0</v>
      </c>
      <c r="AA26" s="389">
        <f t="shared" si="6"/>
        <v>0</v>
      </c>
      <c r="AB26" s="393">
        <f t="shared" si="7"/>
        <v>0</v>
      </c>
      <c r="AE26" s="366">
        <f t="shared" si="27"/>
        <v>2027</v>
      </c>
      <c r="AF26" s="393">
        <f t="shared" si="8"/>
        <v>0</v>
      </c>
      <c r="AG26" s="368">
        <f t="shared" si="9"/>
        <v>0</v>
      </c>
      <c r="AH26" s="393">
        <f t="shared" si="43"/>
        <v>0</v>
      </c>
      <c r="AJ26" s="394">
        <f t="shared" si="28"/>
        <v>0</v>
      </c>
      <c r="AK26" s="394">
        <f t="shared" si="28"/>
        <v>0</v>
      </c>
      <c r="AL26" s="395">
        <f t="shared" si="10"/>
        <v>0</v>
      </c>
      <c r="AN26" s="396">
        <f t="shared" si="11"/>
        <v>0</v>
      </c>
      <c r="AQ26" s="366">
        <f t="shared" si="29"/>
        <v>2027</v>
      </c>
      <c r="AR26" s="393">
        <f t="shared" si="12"/>
        <v>0</v>
      </c>
      <c r="AS26" s="393">
        <f t="shared" si="13"/>
        <v>0</v>
      </c>
      <c r="AT26" s="397">
        <f t="shared" si="14"/>
        <v>3.5999999999999997E-2</v>
      </c>
      <c r="AU26" s="398">
        <f t="shared" si="47"/>
        <v>0</v>
      </c>
      <c r="AV26" s="387">
        <f t="shared" si="15"/>
        <v>0.47</v>
      </c>
      <c r="AW26" s="393">
        <f t="shared" si="16"/>
        <v>0</v>
      </c>
      <c r="AX26" s="397"/>
      <c r="AY26" s="399"/>
      <c r="AZ26" s="393">
        <f t="shared" si="30"/>
        <v>0</v>
      </c>
      <c r="BA26" s="381"/>
      <c r="BB26" s="393">
        <v>0</v>
      </c>
      <c r="BC26" s="393">
        <v>0</v>
      </c>
      <c r="BD26" s="400">
        <f t="shared" si="31"/>
        <v>0</v>
      </c>
      <c r="BE26" s="393">
        <f t="shared" si="17"/>
        <v>0</v>
      </c>
      <c r="BH26" s="366">
        <f t="shared" si="32"/>
        <v>2027</v>
      </c>
      <c r="BI26" s="393">
        <v>0</v>
      </c>
      <c r="BJ26" s="369">
        <f t="shared" si="18"/>
        <v>0</v>
      </c>
      <c r="BK26" s="401">
        <f t="shared" si="19"/>
        <v>8.6489999999999991</v>
      </c>
      <c r="BL26" s="393">
        <f t="shared" si="44"/>
        <v>0</v>
      </c>
      <c r="BM26" s="401">
        <f t="shared" si="20"/>
        <v>0.21099999999999999</v>
      </c>
      <c r="BN26" s="398">
        <f t="shared" si="48"/>
        <v>0</v>
      </c>
      <c r="BO26" s="402"/>
      <c r="BP26" s="393">
        <f t="shared" si="21"/>
        <v>0</v>
      </c>
      <c r="BR26" s="393">
        <f t="shared" si="49"/>
        <v>0</v>
      </c>
      <c r="BS26" s="393"/>
      <c r="BT26" s="393">
        <f t="shared" si="33"/>
        <v>0</v>
      </c>
      <c r="BW26" s="366">
        <f t="shared" si="34"/>
        <v>2027</v>
      </c>
      <c r="BX26" s="393">
        <f t="shared" si="22"/>
        <v>0</v>
      </c>
      <c r="BY26" s="369">
        <f t="shared" si="35"/>
        <v>0</v>
      </c>
      <c r="BZ26" s="403">
        <f t="shared" si="36"/>
        <v>0</v>
      </c>
      <c r="CA26" s="393">
        <f t="shared" si="37"/>
        <v>0</v>
      </c>
      <c r="CC26" s="393">
        <f t="shared" si="38"/>
        <v>0</v>
      </c>
      <c r="CD26" s="393">
        <f t="shared" si="38"/>
        <v>0</v>
      </c>
      <c r="CE26" s="393">
        <f t="shared" si="39"/>
        <v>0</v>
      </c>
      <c r="CF26" s="393"/>
      <c r="CG26" s="393">
        <f t="shared" si="45"/>
        <v>0</v>
      </c>
      <c r="DB26" s="333"/>
    </row>
    <row r="27" spans="1:106">
      <c r="A27" s="185"/>
      <c r="C27" s="358"/>
      <c r="E27" s="185" t="s">
        <v>70</v>
      </c>
      <c r="F27" s="369">
        <f>+'Database Inputs'!H18</f>
        <v>0</v>
      </c>
      <c r="G27" s="369"/>
      <c r="H27" s="369"/>
      <c r="J27" s="333">
        <f t="shared" si="23"/>
        <v>14</v>
      </c>
      <c r="L27" s="366">
        <f t="shared" si="24"/>
        <v>2028</v>
      </c>
      <c r="M27" s="386">
        <f t="shared" si="46"/>
        <v>0</v>
      </c>
      <c r="N27" s="387">
        <f t="shared" si="40"/>
        <v>4.03</v>
      </c>
      <c r="O27" s="388">
        <f t="shared" si="0"/>
        <v>0</v>
      </c>
      <c r="P27" s="387">
        <f t="shared" si="1"/>
        <v>0</v>
      </c>
      <c r="Q27" s="389">
        <f t="shared" si="25"/>
        <v>0</v>
      </c>
      <c r="R27" s="390">
        <f t="shared" si="2"/>
        <v>0</v>
      </c>
      <c r="S27" s="372">
        <f t="shared" si="3"/>
        <v>0</v>
      </c>
      <c r="T27" s="389">
        <f t="shared" si="41"/>
        <v>162</v>
      </c>
      <c r="U27" s="391">
        <f t="shared" si="42"/>
        <v>0</v>
      </c>
      <c r="V27" s="386">
        <f t="shared" si="26"/>
        <v>0</v>
      </c>
      <c r="W27" s="392">
        <f t="shared" si="4"/>
        <v>2.1080000000000001</v>
      </c>
      <c r="X27" s="393">
        <f t="shared" si="5"/>
        <v>0</v>
      </c>
      <c r="Y27" s="393">
        <v>0</v>
      </c>
      <c r="Z27" s="393">
        <v>0</v>
      </c>
      <c r="AA27" s="389">
        <f t="shared" si="6"/>
        <v>0</v>
      </c>
      <c r="AB27" s="393">
        <f t="shared" si="7"/>
        <v>0</v>
      </c>
      <c r="AE27" s="366">
        <f t="shared" si="27"/>
        <v>2028</v>
      </c>
      <c r="AF27" s="393">
        <f t="shared" si="8"/>
        <v>0</v>
      </c>
      <c r="AG27" s="368">
        <f t="shared" si="9"/>
        <v>0</v>
      </c>
      <c r="AH27" s="393">
        <f t="shared" si="43"/>
        <v>0</v>
      </c>
      <c r="AJ27" s="394">
        <f t="shared" si="28"/>
        <v>0</v>
      </c>
      <c r="AK27" s="394">
        <f t="shared" si="28"/>
        <v>0</v>
      </c>
      <c r="AL27" s="395">
        <f t="shared" si="10"/>
        <v>0</v>
      </c>
      <c r="AN27" s="396">
        <f t="shared" si="11"/>
        <v>0</v>
      </c>
      <c r="AQ27" s="366">
        <f t="shared" si="29"/>
        <v>2028</v>
      </c>
      <c r="AR27" s="393">
        <f t="shared" si="12"/>
        <v>0</v>
      </c>
      <c r="AS27" s="393">
        <f t="shared" si="13"/>
        <v>0</v>
      </c>
      <c r="AT27" s="397">
        <f t="shared" si="14"/>
        <v>3.6999999999999998E-2</v>
      </c>
      <c r="AU27" s="398">
        <f t="shared" si="47"/>
        <v>0</v>
      </c>
      <c r="AV27" s="387">
        <f t="shared" si="15"/>
        <v>0.48099999999999998</v>
      </c>
      <c r="AW27" s="393">
        <f t="shared" si="16"/>
        <v>0</v>
      </c>
      <c r="AX27" s="397"/>
      <c r="AY27" s="399"/>
      <c r="AZ27" s="393">
        <f t="shared" si="30"/>
        <v>0</v>
      </c>
      <c r="BA27" s="381"/>
      <c r="BB27" s="393">
        <v>0</v>
      </c>
      <c r="BC27" s="393">
        <v>0</v>
      </c>
      <c r="BD27" s="400">
        <f t="shared" si="31"/>
        <v>0</v>
      </c>
      <c r="BE27" s="393">
        <f t="shared" si="17"/>
        <v>0</v>
      </c>
      <c r="BH27" s="366">
        <f t="shared" si="32"/>
        <v>2028</v>
      </c>
      <c r="BI27" s="393">
        <v>0</v>
      </c>
      <c r="BJ27" s="369">
        <f t="shared" si="18"/>
        <v>0</v>
      </c>
      <c r="BK27" s="401">
        <f t="shared" si="19"/>
        <v>8.9510000000000005</v>
      </c>
      <c r="BL27" s="393">
        <f t="shared" si="44"/>
        <v>0</v>
      </c>
      <c r="BM27" s="401">
        <f t="shared" si="20"/>
        <v>0.219</v>
      </c>
      <c r="BN27" s="398">
        <f t="shared" si="48"/>
        <v>0</v>
      </c>
      <c r="BO27" s="402"/>
      <c r="BP27" s="393">
        <f t="shared" si="21"/>
        <v>0</v>
      </c>
      <c r="BR27" s="393">
        <f t="shared" si="49"/>
        <v>0</v>
      </c>
      <c r="BS27" s="393"/>
      <c r="BT27" s="393">
        <f t="shared" si="33"/>
        <v>0</v>
      </c>
      <c r="BW27" s="366">
        <f t="shared" si="34"/>
        <v>2028</v>
      </c>
      <c r="BX27" s="393">
        <f t="shared" si="22"/>
        <v>0</v>
      </c>
      <c r="BY27" s="369">
        <f t="shared" si="35"/>
        <v>0</v>
      </c>
      <c r="BZ27" s="403">
        <f t="shared" si="36"/>
        <v>0</v>
      </c>
      <c r="CA27" s="393">
        <f t="shared" si="37"/>
        <v>0</v>
      </c>
      <c r="CC27" s="393">
        <f t="shared" si="38"/>
        <v>0</v>
      </c>
      <c r="CD27" s="393">
        <f t="shared" si="38"/>
        <v>0</v>
      </c>
      <c r="CE27" s="393">
        <f t="shared" si="39"/>
        <v>0</v>
      </c>
      <c r="CF27" s="393"/>
      <c r="CG27" s="393">
        <f t="shared" si="45"/>
        <v>0</v>
      </c>
      <c r="DB27" s="333"/>
    </row>
    <row r="28" spans="1:106">
      <c r="A28" s="185" t="s">
        <v>71</v>
      </c>
      <c r="C28" s="365">
        <f>+'Gas Input Table Summary'!$E$19</f>
        <v>2.18E-2</v>
      </c>
      <c r="E28" s="185" t="s">
        <v>72</v>
      </c>
      <c r="F28" s="369">
        <v>0</v>
      </c>
      <c r="G28" s="369"/>
      <c r="H28" s="369"/>
      <c r="J28" s="333">
        <f t="shared" si="23"/>
        <v>15</v>
      </c>
      <c r="L28" s="366">
        <f t="shared" si="24"/>
        <v>2029</v>
      </c>
      <c r="M28" s="386">
        <f t="shared" si="46"/>
        <v>0</v>
      </c>
      <c r="N28" s="387">
        <f t="shared" si="40"/>
        <v>4.1710000000000003</v>
      </c>
      <c r="O28" s="388">
        <f t="shared" si="0"/>
        <v>0</v>
      </c>
      <c r="P28" s="387">
        <f t="shared" si="1"/>
        <v>0</v>
      </c>
      <c r="Q28" s="389">
        <f t="shared" si="25"/>
        <v>0</v>
      </c>
      <c r="R28" s="390">
        <f t="shared" si="2"/>
        <v>0</v>
      </c>
      <c r="S28" s="372">
        <f t="shared" si="3"/>
        <v>0</v>
      </c>
      <c r="T28" s="389">
        <f t="shared" si="41"/>
        <v>163</v>
      </c>
      <c r="U28" s="391">
        <f t="shared" si="42"/>
        <v>0</v>
      </c>
      <c r="V28" s="386">
        <f t="shared" si="26"/>
        <v>0</v>
      </c>
      <c r="W28" s="392">
        <f t="shared" si="4"/>
        <v>2.181</v>
      </c>
      <c r="X28" s="393">
        <f t="shared" si="5"/>
        <v>0</v>
      </c>
      <c r="Y28" s="393">
        <v>0</v>
      </c>
      <c r="Z28" s="393">
        <v>0</v>
      </c>
      <c r="AA28" s="389">
        <f t="shared" si="6"/>
        <v>0</v>
      </c>
      <c r="AB28" s="393">
        <f t="shared" si="7"/>
        <v>0</v>
      </c>
      <c r="AE28" s="366">
        <f t="shared" si="27"/>
        <v>2029</v>
      </c>
      <c r="AF28" s="393">
        <f t="shared" si="8"/>
        <v>0</v>
      </c>
      <c r="AG28" s="368">
        <f t="shared" si="9"/>
        <v>0</v>
      </c>
      <c r="AH28" s="393">
        <f t="shared" si="43"/>
        <v>0</v>
      </c>
      <c r="AJ28" s="394">
        <f t="shared" si="28"/>
        <v>0</v>
      </c>
      <c r="AK28" s="394">
        <f t="shared" si="28"/>
        <v>0</v>
      </c>
      <c r="AL28" s="395">
        <f t="shared" si="10"/>
        <v>0</v>
      </c>
      <c r="AN28" s="396">
        <f t="shared" si="11"/>
        <v>0</v>
      </c>
      <c r="AQ28" s="366">
        <f t="shared" si="29"/>
        <v>2029</v>
      </c>
      <c r="AR28" s="393">
        <f t="shared" si="12"/>
        <v>0</v>
      </c>
      <c r="AS28" s="393">
        <f t="shared" si="13"/>
        <v>0</v>
      </c>
      <c r="AT28" s="397">
        <f t="shared" si="14"/>
        <v>3.7999999999999999E-2</v>
      </c>
      <c r="AU28" s="398">
        <f t="shared" si="47"/>
        <v>0</v>
      </c>
      <c r="AV28" s="387">
        <f t="shared" si="15"/>
        <v>0.49199999999999999</v>
      </c>
      <c r="AW28" s="393">
        <f t="shared" si="16"/>
        <v>0</v>
      </c>
      <c r="AX28" s="397"/>
      <c r="AY28" s="399"/>
      <c r="AZ28" s="393">
        <f t="shared" si="30"/>
        <v>0</v>
      </c>
      <c r="BA28" s="381"/>
      <c r="BB28" s="393">
        <v>0</v>
      </c>
      <c r="BC28" s="393">
        <v>0</v>
      </c>
      <c r="BD28" s="400">
        <f t="shared" si="31"/>
        <v>0</v>
      </c>
      <c r="BE28" s="393">
        <f t="shared" si="17"/>
        <v>0</v>
      </c>
      <c r="BH28" s="366">
        <f t="shared" si="32"/>
        <v>2029</v>
      </c>
      <c r="BI28" s="393">
        <v>0</v>
      </c>
      <c r="BJ28" s="369">
        <f t="shared" si="18"/>
        <v>0</v>
      </c>
      <c r="BK28" s="401">
        <f t="shared" si="19"/>
        <v>9.2650000000000006</v>
      </c>
      <c r="BL28" s="393">
        <f t="shared" si="44"/>
        <v>0</v>
      </c>
      <c r="BM28" s="401">
        <f t="shared" si="20"/>
        <v>0.22600000000000001</v>
      </c>
      <c r="BN28" s="398">
        <f t="shared" si="48"/>
        <v>0</v>
      </c>
      <c r="BO28" s="402"/>
      <c r="BP28" s="393">
        <f t="shared" si="21"/>
        <v>0</v>
      </c>
      <c r="BR28" s="393">
        <f t="shared" si="49"/>
        <v>0</v>
      </c>
      <c r="BS28" s="393"/>
      <c r="BT28" s="393">
        <f t="shared" si="33"/>
        <v>0</v>
      </c>
      <c r="BW28" s="366">
        <f t="shared" si="34"/>
        <v>2029</v>
      </c>
      <c r="BX28" s="393">
        <f t="shared" si="22"/>
        <v>0</v>
      </c>
      <c r="BY28" s="369">
        <f t="shared" si="35"/>
        <v>0</v>
      </c>
      <c r="BZ28" s="403">
        <f t="shared" si="36"/>
        <v>0</v>
      </c>
      <c r="CA28" s="393">
        <f t="shared" si="37"/>
        <v>0</v>
      </c>
      <c r="CC28" s="393">
        <f t="shared" si="38"/>
        <v>0</v>
      </c>
      <c r="CD28" s="393">
        <f t="shared" si="38"/>
        <v>0</v>
      </c>
      <c r="CE28" s="393">
        <f t="shared" si="39"/>
        <v>0</v>
      </c>
      <c r="CF28" s="393"/>
      <c r="CG28" s="393">
        <f t="shared" si="45"/>
        <v>0</v>
      </c>
      <c r="DB28" s="333"/>
    </row>
    <row r="29" spans="1:106">
      <c r="A29" s="185" t="s">
        <v>47</v>
      </c>
      <c r="C29" s="358">
        <f>+'Gas Input Table Summary'!$E$20</f>
        <v>3.5000000000000003E-2</v>
      </c>
      <c r="E29" s="185"/>
      <c r="F29" s="369"/>
      <c r="G29" s="369"/>
      <c r="H29" s="369"/>
      <c r="J29" s="333">
        <f t="shared" si="23"/>
        <v>16</v>
      </c>
      <c r="L29" s="366">
        <f t="shared" si="24"/>
        <v>2030</v>
      </c>
      <c r="M29" s="386">
        <f t="shared" si="46"/>
        <v>0</v>
      </c>
      <c r="N29" s="387">
        <f t="shared" si="40"/>
        <v>4.3170000000000002</v>
      </c>
      <c r="O29" s="388">
        <f t="shared" si="0"/>
        <v>0</v>
      </c>
      <c r="P29" s="387">
        <f t="shared" si="1"/>
        <v>0</v>
      </c>
      <c r="Q29" s="389">
        <f t="shared" si="25"/>
        <v>0</v>
      </c>
      <c r="R29" s="390">
        <f t="shared" si="2"/>
        <v>0</v>
      </c>
      <c r="S29" s="372">
        <f t="shared" si="3"/>
        <v>0</v>
      </c>
      <c r="T29" s="389">
        <f t="shared" si="41"/>
        <v>165</v>
      </c>
      <c r="U29" s="391">
        <f t="shared" si="42"/>
        <v>0</v>
      </c>
      <c r="V29" s="386">
        <f t="shared" si="26"/>
        <v>0</v>
      </c>
      <c r="W29" s="392">
        <f t="shared" si="4"/>
        <v>2.258</v>
      </c>
      <c r="X29" s="393">
        <f t="shared" si="5"/>
        <v>0</v>
      </c>
      <c r="Y29" s="409">
        <v>0</v>
      </c>
      <c r="Z29" s="409">
        <v>0</v>
      </c>
      <c r="AA29" s="410">
        <f t="shared" si="6"/>
        <v>0</v>
      </c>
      <c r="AB29" s="409">
        <f t="shared" si="7"/>
        <v>0</v>
      </c>
      <c r="AE29" s="366">
        <f t="shared" si="27"/>
        <v>2030</v>
      </c>
      <c r="AF29" s="393">
        <f t="shared" si="8"/>
        <v>0</v>
      </c>
      <c r="AG29" s="368">
        <f t="shared" si="9"/>
        <v>0</v>
      </c>
      <c r="AH29" s="393">
        <f t="shared" si="43"/>
        <v>0</v>
      </c>
      <c r="AJ29" s="394">
        <f t="shared" si="28"/>
        <v>0</v>
      </c>
      <c r="AK29" s="394">
        <f t="shared" si="28"/>
        <v>0</v>
      </c>
      <c r="AL29" s="395">
        <f t="shared" si="10"/>
        <v>0</v>
      </c>
      <c r="AN29" s="396">
        <f t="shared" si="11"/>
        <v>0</v>
      </c>
      <c r="AQ29" s="366">
        <f t="shared" si="29"/>
        <v>2030</v>
      </c>
      <c r="AR29" s="409">
        <f t="shared" si="12"/>
        <v>0</v>
      </c>
      <c r="AS29" s="393">
        <f t="shared" si="13"/>
        <v>0</v>
      </c>
      <c r="AT29" s="397">
        <f t="shared" si="14"/>
        <v>0.04</v>
      </c>
      <c r="AU29" s="398">
        <f t="shared" si="47"/>
        <v>0</v>
      </c>
      <c r="AV29" s="387">
        <f t="shared" si="15"/>
        <v>0.504</v>
      </c>
      <c r="AW29" s="393">
        <f t="shared" si="16"/>
        <v>0</v>
      </c>
      <c r="AX29" s="397"/>
      <c r="AY29" s="399"/>
      <c r="AZ29" s="409">
        <f t="shared" si="30"/>
        <v>0</v>
      </c>
      <c r="BA29" s="381"/>
      <c r="BB29" s="409">
        <v>0</v>
      </c>
      <c r="BC29" s="393">
        <v>0</v>
      </c>
      <c r="BD29" s="400">
        <f t="shared" si="31"/>
        <v>0</v>
      </c>
      <c r="BE29" s="409">
        <f t="shared" si="17"/>
        <v>0</v>
      </c>
      <c r="BH29" s="366">
        <f t="shared" si="32"/>
        <v>2030</v>
      </c>
      <c r="BI29" s="393">
        <v>0</v>
      </c>
      <c r="BJ29" s="369">
        <f t="shared" si="18"/>
        <v>0</v>
      </c>
      <c r="BK29" s="401">
        <f t="shared" si="19"/>
        <v>9.5890000000000004</v>
      </c>
      <c r="BL29" s="393">
        <f t="shared" si="44"/>
        <v>0</v>
      </c>
      <c r="BM29" s="401">
        <f t="shared" si="20"/>
        <v>0.23400000000000001</v>
      </c>
      <c r="BN29" s="398">
        <f t="shared" si="48"/>
        <v>0</v>
      </c>
      <c r="BO29" s="402"/>
      <c r="BP29" s="393">
        <f t="shared" si="21"/>
        <v>0</v>
      </c>
      <c r="BR29" s="393">
        <f t="shared" si="49"/>
        <v>0</v>
      </c>
      <c r="BS29" s="393"/>
      <c r="BT29" s="393">
        <f t="shared" si="33"/>
        <v>0</v>
      </c>
      <c r="BW29" s="366">
        <f t="shared" si="34"/>
        <v>2030</v>
      </c>
      <c r="BX29" s="393">
        <f t="shared" si="22"/>
        <v>0</v>
      </c>
      <c r="BY29" s="369">
        <f t="shared" si="35"/>
        <v>0</v>
      </c>
      <c r="BZ29" s="403">
        <f t="shared" si="36"/>
        <v>0</v>
      </c>
      <c r="CA29" s="393">
        <f t="shared" si="37"/>
        <v>0</v>
      </c>
      <c r="CC29" s="393">
        <f t="shared" si="38"/>
        <v>0</v>
      </c>
      <c r="CD29" s="393">
        <f t="shared" si="38"/>
        <v>0</v>
      </c>
      <c r="CE29" s="393">
        <f t="shared" si="39"/>
        <v>0</v>
      </c>
      <c r="CF29" s="393"/>
      <c r="CG29" s="393">
        <f t="shared" si="45"/>
        <v>0</v>
      </c>
      <c r="DB29" s="333"/>
    </row>
    <row r="30" spans="1:106">
      <c r="E30" s="185" t="s">
        <v>73</v>
      </c>
      <c r="F30" s="196">
        <f>+'Total Program Inputs'!C19</f>
        <v>0</v>
      </c>
      <c r="G30" s="196"/>
      <c r="H30" s="196"/>
      <c r="J30" s="333">
        <f t="shared" si="23"/>
        <v>17</v>
      </c>
      <c r="L30" s="366">
        <f t="shared" si="24"/>
        <v>2031</v>
      </c>
      <c r="M30" s="386">
        <f t="shared" si="46"/>
        <v>0</v>
      </c>
      <c r="N30" s="387">
        <f t="shared" si="40"/>
        <v>4.468</v>
      </c>
      <c r="O30" s="388">
        <f t="shared" si="0"/>
        <v>0</v>
      </c>
      <c r="P30" s="387">
        <f t="shared" si="1"/>
        <v>0</v>
      </c>
      <c r="Q30" s="389">
        <f t="shared" si="25"/>
        <v>0</v>
      </c>
      <c r="R30" s="390">
        <f t="shared" si="2"/>
        <v>0</v>
      </c>
      <c r="S30" s="372">
        <f t="shared" si="3"/>
        <v>0</v>
      </c>
      <c r="T30" s="389">
        <f t="shared" si="41"/>
        <v>167</v>
      </c>
      <c r="U30" s="391">
        <f t="shared" si="42"/>
        <v>0</v>
      </c>
      <c r="V30" s="386">
        <f t="shared" si="26"/>
        <v>0</v>
      </c>
      <c r="W30" s="392">
        <f t="shared" si="4"/>
        <v>2.3370000000000002</v>
      </c>
      <c r="X30" s="393">
        <f t="shared" si="5"/>
        <v>0</v>
      </c>
      <c r="Y30" s="409">
        <v>0</v>
      </c>
      <c r="Z30" s="409">
        <v>0</v>
      </c>
      <c r="AA30" s="410">
        <f t="shared" si="6"/>
        <v>0</v>
      </c>
      <c r="AB30" s="409">
        <f t="shared" si="7"/>
        <v>0</v>
      </c>
      <c r="AE30" s="366">
        <f t="shared" si="27"/>
        <v>2031</v>
      </c>
      <c r="AF30" s="393">
        <f t="shared" si="8"/>
        <v>0</v>
      </c>
      <c r="AG30" s="368">
        <f t="shared" si="9"/>
        <v>0</v>
      </c>
      <c r="AH30" s="393">
        <f t="shared" si="43"/>
        <v>0</v>
      </c>
      <c r="AJ30" s="394">
        <f t="shared" si="28"/>
        <v>0</v>
      </c>
      <c r="AK30" s="394">
        <f t="shared" si="28"/>
        <v>0</v>
      </c>
      <c r="AL30" s="395">
        <f t="shared" si="10"/>
        <v>0</v>
      </c>
      <c r="AN30" s="396">
        <f t="shared" si="11"/>
        <v>0</v>
      </c>
      <c r="AQ30" s="366">
        <f t="shared" si="29"/>
        <v>2031</v>
      </c>
      <c r="AR30" s="409">
        <f t="shared" si="12"/>
        <v>0</v>
      </c>
      <c r="AS30" s="393">
        <f t="shared" si="13"/>
        <v>0</v>
      </c>
      <c r="AT30" s="397">
        <f t="shared" si="14"/>
        <v>4.1000000000000002E-2</v>
      </c>
      <c r="AU30" s="398">
        <f t="shared" si="47"/>
        <v>0</v>
      </c>
      <c r="AV30" s="387">
        <f t="shared" si="15"/>
        <v>0.51500000000000001</v>
      </c>
      <c r="AW30" s="393">
        <f t="shared" si="16"/>
        <v>0</v>
      </c>
      <c r="AX30" s="397"/>
      <c r="AY30" s="399"/>
      <c r="AZ30" s="409">
        <f t="shared" si="30"/>
        <v>0</v>
      </c>
      <c r="BA30" s="381"/>
      <c r="BB30" s="409">
        <v>0</v>
      </c>
      <c r="BC30" s="393">
        <v>0</v>
      </c>
      <c r="BD30" s="400">
        <f t="shared" si="31"/>
        <v>0</v>
      </c>
      <c r="BE30" s="409">
        <f t="shared" si="17"/>
        <v>0</v>
      </c>
      <c r="BH30" s="366">
        <f t="shared" si="32"/>
        <v>2031</v>
      </c>
      <c r="BI30" s="393">
        <v>0</v>
      </c>
      <c r="BJ30" s="369">
        <f t="shared" si="18"/>
        <v>0</v>
      </c>
      <c r="BK30" s="401">
        <f t="shared" si="19"/>
        <v>9.9250000000000007</v>
      </c>
      <c r="BL30" s="393">
        <f t="shared" si="44"/>
        <v>0</v>
      </c>
      <c r="BM30" s="401">
        <f t="shared" si="20"/>
        <v>0.24199999999999999</v>
      </c>
      <c r="BN30" s="398">
        <f t="shared" si="48"/>
        <v>0</v>
      </c>
      <c r="BO30" s="402"/>
      <c r="BP30" s="393">
        <f t="shared" si="21"/>
        <v>0</v>
      </c>
      <c r="BR30" s="393">
        <f t="shared" si="49"/>
        <v>0</v>
      </c>
      <c r="BS30" s="393"/>
      <c r="BT30" s="393">
        <f t="shared" si="33"/>
        <v>0</v>
      </c>
      <c r="BW30" s="366">
        <f t="shared" si="34"/>
        <v>2031</v>
      </c>
      <c r="BX30" s="393">
        <f t="shared" si="22"/>
        <v>0</v>
      </c>
      <c r="BY30" s="369">
        <f t="shared" si="35"/>
        <v>0</v>
      </c>
      <c r="BZ30" s="403">
        <f t="shared" si="36"/>
        <v>0</v>
      </c>
      <c r="CA30" s="393">
        <f t="shared" si="37"/>
        <v>0</v>
      </c>
      <c r="CC30" s="393">
        <f t="shared" si="38"/>
        <v>0</v>
      </c>
      <c r="CD30" s="393">
        <f t="shared" si="38"/>
        <v>0</v>
      </c>
      <c r="CE30" s="393">
        <f t="shared" si="39"/>
        <v>0</v>
      </c>
      <c r="CF30" s="393"/>
      <c r="CG30" s="393">
        <f t="shared" si="45"/>
        <v>0</v>
      </c>
      <c r="DB30" s="333">
        <f>$J18</f>
        <v>5</v>
      </c>
    </row>
    <row r="31" spans="1:106">
      <c r="A31" s="187" t="s">
        <v>74</v>
      </c>
      <c r="C31" s="361">
        <f>+'Gas Input Table Summary'!$E$21</f>
        <v>5.0999999999999997E-2</v>
      </c>
      <c r="F31" s="368"/>
      <c r="G31" s="368"/>
      <c r="H31" s="368"/>
      <c r="J31" s="333">
        <f t="shared" si="23"/>
        <v>18</v>
      </c>
      <c r="L31" s="366">
        <f t="shared" si="24"/>
        <v>2032</v>
      </c>
      <c r="M31" s="386">
        <f t="shared" si="46"/>
        <v>0</v>
      </c>
      <c r="N31" s="387">
        <f t="shared" si="40"/>
        <v>4.625</v>
      </c>
      <c r="O31" s="388">
        <f t="shared" si="0"/>
        <v>0</v>
      </c>
      <c r="P31" s="387">
        <f t="shared" si="1"/>
        <v>0</v>
      </c>
      <c r="Q31" s="389">
        <f t="shared" si="25"/>
        <v>0</v>
      </c>
      <c r="R31" s="390">
        <f t="shared" si="2"/>
        <v>0</v>
      </c>
      <c r="S31" s="372">
        <f t="shared" si="3"/>
        <v>0</v>
      </c>
      <c r="T31" s="389">
        <f t="shared" si="41"/>
        <v>168</v>
      </c>
      <c r="U31" s="391">
        <f t="shared" si="42"/>
        <v>0</v>
      </c>
      <c r="V31" s="386">
        <f t="shared" si="26"/>
        <v>0</v>
      </c>
      <c r="W31" s="392">
        <f t="shared" si="4"/>
        <v>2.4180000000000001</v>
      </c>
      <c r="X31" s="393">
        <f t="shared" si="5"/>
        <v>0</v>
      </c>
      <c r="Y31" s="409">
        <v>0</v>
      </c>
      <c r="Z31" s="409">
        <v>0</v>
      </c>
      <c r="AA31" s="410">
        <f t="shared" si="6"/>
        <v>0</v>
      </c>
      <c r="AB31" s="409">
        <f t="shared" si="7"/>
        <v>0</v>
      </c>
      <c r="AE31" s="366">
        <f t="shared" si="27"/>
        <v>2032</v>
      </c>
      <c r="AF31" s="393">
        <f t="shared" si="8"/>
        <v>0</v>
      </c>
      <c r="AG31" s="368">
        <f t="shared" si="9"/>
        <v>0</v>
      </c>
      <c r="AH31" s="393">
        <f t="shared" si="43"/>
        <v>0</v>
      </c>
      <c r="AJ31" s="394">
        <f t="shared" si="28"/>
        <v>0</v>
      </c>
      <c r="AK31" s="394">
        <f t="shared" si="28"/>
        <v>0</v>
      </c>
      <c r="AL31" s="395">
        <f t="shared" si="10"/>
        <v>0</v>
      </c>
      <c r="AN31" s="396">
        <f t="shared" si="11"/>
        <v>0</v>
      </c>
      <c r="AQ31" s="366">
        <f t="shared" si="29"/>
        <v>2032</v>
      </c>
      <c r="AR31" s="409">
        <f t="shared" si="12"/>
        <v>0</v>
      </c>
      <c r="AS31" s="393">
        <f t="shared" si="13"/>
        <v>0</v>
      </c>
      <c r="AT31" s="397">
        <f t="shared" si="14"/>
        <v>4.2999999999999997E-2</v>
      </c>
      <c r="AU31" s="398">
        <f t="shared" si="47"/>
        <v>0</v>
      </c>
      <c r="AV31" s="387">
        <f t="shared" si="15"/>
        <v>0.52700000000000002</v>
      </c>
      <c r="AW31" s="393">
        <f t="shared" si="16"/>
        <v>0</v>
      </c>
      <c r="AX31" s="397"/>
      <c r="AY31" s="399"/>
      <c r="AZ31" s="409">
        <f t="shared" si="30"/>
        <v>0</v>
      </c>
      <c r="BA31" s="381"/>
      <c r="BB31" s="409">
        <v>0</v>
      </c>
      <c r="BC31" s="393">
        <v>0</v>
      </c>
      <c r="BD31" s="400">
        <f t="shared" si="31"/>
        <v>0</v>
      </c>
      <c r="BE31" s="409">
        <f t="shared" si="17"/>
        <v>0</v>
      </c>
      <c r="BH31" s="366">
        <f t="shared" si="32"/>
        <v>2032</v>
      </c>
      <c r="BI31" s="393">
        <v>0</v>
      </c>
      <c r="BJ31" s="369">
        <f t="shared" si="18"/>
        <v>0</v>
      </c>
      <c r="BK31" s="401">
        <f t="shared" si="19"/>
        <v>10.272</v>
      </c>
      <c r="BL31" s="393">
        <f t="shared" si="44"/>
        <v>0</v>
      </c>
      <c r="BM31" s="401">
        <f t="shared" si="20"/>
        <v>0.251</v>
      </c>
      <c r="BN31" s="398">
        <f t="shared" si="48"/>
        <v>0</v>
      </c>
      <c r="BO31" s="402"/>
      <c r="BP31" s="393">
        <f t="shared" si="21"/>
        <v>0</v>
      </c>
      <c r="BR31" s="393">
        <f t="shared" si="49"/>
        <v>0</v>
      </c>
      <c r="BS31" s="393"/>
      <c r="BT31" s="393">
        <f t="shared" si="33"/>
        <v>0</v>
      </c>
      <c r="BW31" s="366">
        <f t="shared" si="34"/>
        <v>2032</v>
      </c>
      <c r="BX31" s="393">
        <f t="shared" si="22"/>
        <v>0</v>
      </c>
      <c r="BY31" s="369">
        <f t="shared" si="35"/>
        <v>0</v>
      </c>
      <c r="BZ31" s="403">
        <f t="shared" si="36"/>
        <v>0</v>
      </c>
      <c r="CA31" s="393">
        <f t="shared" si="37"/>
        <v>0</v>
      </c>
      <c r="CC31" s="393">
        <f t="shared" si="38"/>
        <v>0</v>
      </c>
      <c r="CD31" s="393">
        <f t="shared" si="38"/>
        <v>0</v>
      </c>
      <c r="CE31" s="393">
        <f t="shared" si="39"/>
        <v>0</v>
      </c>
      <c r="CF31" s="393"/>
      <c r="CG31" s="393">
        <f t="shared" si="45"/>
        <v>0</v>
      </c>
      <c r="DB31" s="333">
        <f>$J19</f>
        <v>6</v>
      </c>
    </row>
    <row r="32" spans="1:106">
      <c r="E32" s="193" t="s">
        <v>103</v>
      </c>
      <c r="F32" s="411">
        <f>+'Total Program Inputs'!E19</f>
        <v>0</v>
      </c>
      <c r="G32" s="408"/>
      <c r="H32" s="408"/>
      <c r="J32" s="333">
        <f t="shared" si="23"/>
        <v>19</v>
      </c>
      <c r="L32" s="366">
        <f t="shared" si="24"/>
        <v>2033</v>
      </c>
      <c r="M32" s="386">
        <f t="shared" si="46"/>
        <v>0</v>
      </c>
      <c r="N32" s="387">
        <f t="shared" si="40"/>
        <v>4.7869999999999999</v>
      </c>
      <c r="O32" s="388">
        <f t="shared" si="0"/>
        <v>0</v>
      </c>
      <c r="P32" s="387">
        <f t="shared" si="1"/>
        <v>0</v>
      </c>
      <c r="Q32" s="389">
        <f t="shared" si="25"/>
        <v>0</v>
      </c>
      <c r="R32" s="390">
        <f t="shared" si="2"/>
        <v>0</v>
      </c>
      <c r="S32" s="372">
        <f t="shared" si="3"/>
        <v>0</v>
      </c>
      <c r="T32" s="389">
        <f t="shared" si="41"/>
        <v>170</v>
      </c>
      <c r="U32" s="391">
        <f t="shared" si="42"/>
        <v>0</v>
      </c>
      <c r="V32" s="386">
        <f t="shared" si="26"/>
        <v>0</v>
      </c>
      <c r="W32" s="392">
        <f t="shared" si="4"/>
        <v>2.5030000000000001</v>
      </c>
      <c r="X32" s="393">
        <f t="shared" si="5"/>
        <v>0</v>
      </c>
      <c r="Y32" s="409">
        <v>0</v>
      </c>
      <c r="Z32" s="409">
        <v>0</v>
      </c>
      <c r="AA32" s="410">
        <f t="shared" si="6"/>
        <v>0</v>
      </c>
      <c r="AB32" s="409">
        <f t="shared" si="7"/>
        <v>0</v>
      </c>
      <c r="AE32" s="366">
        <f t="shared" si="27"/>
        <v>2033</v>
      </c>
      <c r="AF32" s="393">
        <f t="shared" si="8"/>
        <v>0</v>
      </c>
      <c r="AG32" s="368">
        <f t="shared" si="9"/>
        <v>0</v>
      </c>
      <c r="AH32" s="393">
        <f t="shared" si="43"/>
        <v>0</v>
      </c>
      <c r="AJ32" s="394">
        <f t="shared" si="28"/>
        <v>0</v>
      </c>
      <c r="AK32" s="394">
        <f t="shared" si="28"/>
        <v>0</v>
      </c>
      <c r="AL32" s="395">
        <f t="shared" si="10"/>
        <v>0</v>
      </c>
      <c r="AN32" s="396">
        <f t="shared" si="11"/>
        <v>0</v>
      </c>
      <c r="AQ32" s="366">
        <f t="shared" si="29"/>
        <v>2033</v>
      </c>
      <c r="AR32" s="409">
        <f t="shared" si="12"/>
        <v>0</v>
      </c>
      <c r="AS32" s="393">
        <f t="shared" si="13"/>
        <v>0</v>
      </c>
      <c r="AT32" s="397">
        <f t="shared" si="14"/>
        <v>4.3999999999999997E-2</v>
      </c>
      <c r="AU32" s="398">
        <f t="shared" si="47"/>
        <v>0</v>
      </c>
      <c r="AV32" s="387">
        <f t="shared" si="15"/>
        <v>0.53900000000000003</v>
      </c>
      <c r="AW32" s="393">
        <f t="shared" si="16"/>
        <v>0</v>
      </c>
      <c r="AX32" s="397"/>
      <c r="AY32" s="399"/>
      <c r="AZ32" s="409">
        <f t="shared" si="30"/>
        <v>0</v>
      </c>
      <c r="BA32" s="381"/>
      <c r="BB32" s="409">
        <v>0</v>
      </c>
      <c r="BC32" s="393">
        <v>0</v>
      </c>
      <c r="BD32" s="400">
        <f t="shared" si="31"/>
        <v>0</v>
      </c>
      <c r="BE32" s="409">
        <f t="shared" si="17"/>
        <v>0</v>
      </c>
      <c r="BH32" s="366">
        <f t="shared" si="32"/>
        <v>2033</v>
      </c>
      <c r="BI32" s="393">
        <v>0</v>
      </c>
      <c r="BJ32" s="369">
        <f t="shared" si="18"/>
        <v>0</v>
      </c>
      <c r="BK32" s="401">
        <f t="shared" si="19"/>
        <v>10.631</v>
      </c>
      <c r="BL32" s="393">
        <f t="shared" si="44"/>
        <v>0</v>
      </c>
      <c r="BM32" s="401">
        <f t="shared" si="20"/>
        <v>0.26</v>
      </c>
      <c r="BN32" s="398">
        <f t="shared" si="48"/>
        <v>0</v>
      </c>
      <c r="BO32" s="402"/>
      <c r="BP32" s="393">
        <f t="shared" si="21"/>
        <v>0</v>
      </c>
      <c r="BR32" s="393">
        <f t="shared" si="49"/>
        <v>0</v>
      </c>
      <c r="BS32" s="393"/>
      <c r="BT32" s="393">
        <f t="shared" si="33"/>
        <v>0</v>
      </c>
      <c r="BW32" s="366">
        <f t="shared" si="34"/>
        <v>2033</v>
      </c>
      <c r="BX32" s="393">
        <f t="shared" si="22"/>
        <v>0</v>
      </c>
      <c r="BY32" s="369">
        <f t="shared" si="35"/>
        <v>0</v>
      </c>
      <c r="BZ32" s="403">
        <f t="shared" si="36"/>
        <v>0</v>
      </c>
      <c r="CA32" s="393">
        <f t="shared" si="37"/>
        <v>0</v>
      </c>
      <c r="CC32" s="393">
        <f t="shared" si="38"/>
        <v>0</v>
      </c>
      <c r="CD32" s="393">
        <f t="shared" si="38"/>
        <v>0</v>
      </c>
      <c r="CE32" s="393">
        <f t="shared" si="39"/>
        <v>0</v>
      </c>
      <c r="CF32" s="393"/>
      <c r="CG32" s="393">
        <f t="shared" si="45"/>
        <v>0</v>
      </c>
      <c r="DB32" s="333">
        <f>$J20</f>
        <v>7</v>
      </c>
    </row>
    <row r="33" spans="1:106">
      <c r="A33" s="187" t="s">
        <v>75</v>
      </c>
      <c r="C33" s="356">
        <f>+'Gas Input Table Summary'!$E$22</f>
        <v>0.35</v>
      </c>
      <c r="F33" s="368"/>
      <c r="G33" s="368"/>
      <c r="H33" s="368"/>
      <c r="J33" s="333">
        <f t="shared" si="23"/>
        <v>20</v>
      </c>
      <c r="L33" s="366">
        <f t="shared" si="24"/>
        <v>2034</v>
      </c>
      <c r="M33" s="386">
        <f t="shared" si="46"/>
        <v>0</v>
      </c>
      <c r="N33" s="387">
        <f t="shared" si="40"/>
        <v>4.9539999999999997</v>
      </c>
      <c r="O33" s="388">
        <f t="shared" si="0"/>
        <v>0</v>
      </c>
      <c r="P33" s="387">
        <f t="shared" si="1"/>
        <v>0</v>
      </c>
      <c r="Q33" s="389">
        <f t="shared" si="25"/>
        <v>0</v>
      </c>
      <c r="R33" s="390">
        <f t="shared" si="2"/>
        <v>0</v>
      </c>
      <c r="S33" s="372">
        <f t="shared" si="3"/>
        <v>0</v>
      </c>
      <c r="T33" s="389">
        <f t="shared" si="41"/>
        <v>172</v>
      </c>
      <c r="U33" s="391">
        <f t="shared" si="42"/>
        <v>0</v>
      </c>
      <c r="V33" s="386">
        <f t="shared" si="26"/>
        <v>0</v>
      </c>
      <c r="W33" s="392">
        <f t="shared" si="4"/>
        <v>2.5910000000000002</v>
      </c>
      <c r="X33" s="393">
        <f t="shared" si="5"/>
        <v>0</v>
      </c>
      <c r="Y33" s="409">
        <v>0</v>
      </c>
      <c r="Z33" s="409">
        <v>0</v>
      </c>
      <c r="AA33" s="410">
        <f t="shared" si="6"/>
        <v>0</v>
      </c>
      <c r="AB33" s="409">
        <f t="shared" si="7"/>
        <v>0</v>
      </c>
      <c r="AE33" s="366">
        <f t="shared" si="27"/>
        <v>2034</v>
      </c>
      <c r="AF33" s="393">
        <f t="shared" si="8"/>
        <v>0</v>
      </c>
      <c r="AG33" s="368">
        <f t="shared" si="9"/>
        <v>0</v>
      </c>
      <c r="AH33" s="393">
        <f t="shared" si="43"/>
        <v>0</v>
      </c>
      <c r="AJ33" s="394">
        <f t="shared" si="28"/>
        <v>0</v>
      </c>
      <c r="AK33" s="394">
        <f t="shared" si="28"/>
        <v>0</v>
      </c>
      <c r="AL33" s="395">
        <f t="shared" si="10"/>
        <v>0</v>
      </c>
      <c r="AN33" s="396">
        <f t="shared" si="11"/>
        <v>0</v>
      </c>
      <c r="AQ33" s="366">
        <f t="shared" si="29"/>
        <v>2034</v>
      </c>
      <c r="AR33" s="409">
        <f t="shared" si="12"/>
        <v>0</v>
      </c>
      <c r="AS33" s="393">
        <f t="shared" si="13"/>
        <v>0</v>
      </c>
      <c r="AT33" s="397">
        <f t="shared" si="14"/>
        <v>4.5999999999999999E-2</v>
      </c>
      <c r="AU33" s="398">
        <f t="shared" si="47"/>
        <v>0</v>
      </c>
      <c r="AV33" s="387">
        <f t="shared" si="15"/>
        <v>0.55200000000000005</v>
      </c>
      <c r="AW33" s="393">
        <f t="shared" si="16"/>
        <v>0</v>
      </c>
      <c r="AX33" s="397"/>
      <c r="AY33" s="399"/>
      <c r="AZ33" s="409">
        <f t="shared" si="30"/>
        <v>0</v>
      </c>
      <c r="BA33" s="381"/>
      <c r="BB33" s="409">
        <v>0</v>
      </c>
      <c r="BC33" s="393">
        <v>0</v>
      </c>
      <c r="BD33" s="400">
        <f t="shared" si="31"/>
        <v>0</v>
      </c>
      <c r="BE33" s="409">
        <f t="shared" si="17"/>
        <v>0</v>
      </c>
      <c r="BH33" s="366">
        <f t="shared" si="32"/>
        <v>2034</v>
      </c>
      <c r="BI33" s="393">
        <v>0</v>
      </c>
      <c r="BJ33" s="369">
        <f t="shared" si="18"/>
        <v>0</v>
      </c>
      <c r="BK33" s="401">
        <f t="shared" si="19"/>
        <v>11.004</v>
      </c>
      <c r="BL33" s="393">
        <f t="shared" si="44"/>
        <v>0</v>
      </c>
      <c r="BM33" s="401">
        <f t="shared" si="20"/>
        <v>0.26900000000000002</v>
      </c>
      <c r="BN33" s="398">
        <f t="shared" si="48"/>
        <v>0</v>
      </c>
      <c r="BO33" s="398"/>
      <c r="BP33" s="393">
        <f t="shared" si="21"/>
        <v>0</v>
      </c>
      <c r="BR33" s="393">
        <f t="shared" si="49"/>
        <v>0</v>
      </c>
      <c r="BS33" s="393"/>
      <c r="BT33" s="393">
        <f t="shared" si="33"/>
        <v>0</v>
      </c>
      <c r="BW33" s="366">
        <f t="shared" si="34"/>
        <v>2034</v>
      </c>
      <c r="BX33" s="393">
        <f t="shared" si="22"/>
        <v>0</v>
      </c>
      <c r="BY33" s="369">
        <f t="shared" si="35"/>
        <v>0</v>
      </c>
      <c r="BZ33" s="403">
        <f t="shared" si="36"/>
        <v>0</v>
      </c>
      <c r="CA33" s="393">
        <f t="shared" si="37"/>
        <v>0</v>
      </c>
      <c r="CC33" s="393">
        <f t="shared" si="38"/>
        <v>0</v>
      </c>
      <c r="CD33" s="393">
        <f t="shared" si="38"/>
        <v>0</v>
      </c>
      <c r="CE33" s="393">
        <f t="shared" si="39"/>
        <v>0</v>
      </c>
      <c r="CF33" s="393"/>
      <c r="CG33" s="393">
        <f t="shared" si="45"/>
        <v>0</v>
      </c>
      <c r="DB33" s="333"/>
    </row>
    <row r="34" spans="1:106">
      <c r="A34" s="185" t="s">
        <v>18</v>
      </c>
      <c r="C34" s="358">
        <f>+'Gas Input Table Summary'!$E$23</f>
        <v>2.3E-2</v>
      </c>
      <c r="E34" s="187" t="s">
        <v>76</v>
      </c>
      <c r="F34" s="357">
        <v>0</v>
      </c>
      <c r="G34" s="357"/>
      <c r="H34" s="357"/>
      <c r="J34" s="333">
        <f t="shared" si="23"/>
        <v>21</v>
      </c>
      <c r="L34" s="366">
        <f t="shared" si="24"/>
        <v>2035</v>
      </c>
      <c r="M34" s="412">
        <f t="shared" si="46"/>
        <v>0</v>
      </c>
      <c r="N34" s="387">
        <f t="shared" si="40"/>
        <v>5.1280000000000001</v>
      </c>
      <c r="O34" s="394">
        <f t="shared" si="0"/>
        <v>0</v>
      </c>
      <c r="P34" s="413">
        <f t="shared" si="1"/>
        <v>0</v>
      </c>
      <c r="Q34" s="410">
        <f t="shared" si="25"/>
        <v>0</v>
      </c>
      <c r="R34" s="414">
        <f t="shared" si="2"/>
        <v>0</v>
      </c>
      <c r="S34" s="415">
        <f t="shared" si="3"/>
        <v>0</v>
      </c>
      <c r="T34" s="389">
        <f t="shared" si="41"/>
        <v>174</v>
      </c>
      <c r="U34" s="416">
        <f t="shared" si="42"/>
        <v>0</v>
      </c>
      <c r="V34" s="412">
        <f t="shared" si="26"/>
        <v>0</v>
      </c>
      <c r="W34" s="392">
        <f t="shared" si="4"/>
        <v>2.681</v>
      </c>
      <c r="X34" s="409">
        <f t="shared" si="5"/>
        <v>0</v>
      </c>
      <c r="Y34" s="409">
        <v>0</v>
      </c>
      <c r="Z34" s="409">
        <v>0</v>
      </c>
      <c r="AA34" s="417">
        <f t="shared" si="6"/>
        <v>0</v>
      </c>
      <c r="AB34" s="418">
        <f t="shared" si="7"/>
        <v>0</v>
      </c>
      <c r="AE34" s="366">
        <f t="shared" si="27"/>
        <v>2035</v>
      </c>
      <c r="AF34" s="409">
        <f t="shared" si="8"/>
        <v>0</v>
      </c>
      <c r="AG34" s="419">
        <f t="shared" si="9"/>
        <v>0</v>
      </c>
      <c r="AH34" s="418">
        <f t="shared" si="43"/>
        <v>0</v>
      </c>
      <c r="AJ34" s="394">
        <f t="shared" si="28"/>
        <v>0</v>
      </c>
      <c r="AK34" s="394">
        <f t="shared" si="28"/>
        <v>0</v>
      </c>
      <c r="AL34" s="420">
        <f t="shared" si="10"/>
        <v>0</v>
      </c>
      <c r="AN34" s="421">
        <f t="shared" si="11"/>
        <v>0</v>
      </c>
      <c r="AQ34" s="366">
        <f t="shared" si="29"/>
        <v>2035</v>
      </c>
      <c r="AR34" s="409">
        <f t="shared" si="12"/>
        <v>0</v>
      </c>
      <c r="AS34" s="409">
        <f t="shared" si="13"/>
        <v>0</v>
      </c>
      <c r="AT34" s="422">
        <f t="shared" si="14"/>
        <v>4.7E-2</v>
      </c>
      <c r="AU34" s="398">
        <f t="shared" si="47"/>
        <v>0</v>
      </c>
      <c r="AV34" s="413">
        <f t="shared" si="15"/>
        <v>0.56399999999999995</v>
      </c>
      <c r="AW34" s="409">
        <f t="shared" si="16"/>
        <v>0</v>
      </c>
      <c r="AX34" s="397"/>
      <c r="AY34" s="423"/>
      <c r="AZ34" s="418">
        <f t="shared" si="30"/>
        <v>0</v>
      </c>
      <c r="BA34" s="381"/>
      <c r="BB34" s="409">
        <v>0</v>
      </c>
      <c r="BC34" s="409">
        <v>0</v>
      </c>
      <c r="BD34" s="424">
        <f t="shared" si="31"/>
        <v>0</v>
      </c>
      <c r="BE34" s="418">
        <f t="shared" si="17"/>
        <v>0</v>
      </c>
      <c r="BH34" s="366">
        <f t="shared" si="32"/>
        <v>2035</v>
      </c>
      <c r="BI34" s="409">
        <v>0</v>
      </c>
      <c r="BJ34" s="412">
        <f t="shared" si="18"/>
        <v>0</v>
      </c>
      <c r="BK34" s="401">
        <f t="shared" si="19"/>
        <v>11.388999999999999</v>
      </c>
      <c r="BL34" s="409">
        <f t="shared" si="44"/>
        <v>0</v>
      </c>
      <c r="BM34" s="401">
        <f t="shared" si="20"/>
        <v>0.27800000000000002</v>
      </c>
      <c r="BN34" s="398">
        <f t="shared" si="48"/>
        <v>0</v>
      </c>
      <c r="BO34" s="425"/>
      <c r="BP34" s="418">
        <f t="shared" si="21"/>
        <v>0</v>
      </c>
      <c r="BR34" s="418">
        <f t="shared" si="49"/>
        <v>0</v>
      </c>
      <c r="BS34" s="418"/>
      <c r="BT34" s="418">
        <f t="shared" si="33"/>
        <v>0</v>
      </c>
      <c r="BW34" s="366">
        <f t="shared" si="34"/>
        <v>2035</v>
      </c>
      <c r="BX34" s="409">
        <f t="shared" si="22"/>
        <v>0</v>
      </c>
      <c r="BY34" s="369">
        <f t="shared" si="35"/>
        <v>0</v>
      </c>
      <c r="BZ34" s="403">
        <f t="shared" si="36"/>
        <v>0</v>
      </c>
      <c r="CA34" s="418">
        <f t="shared" si="37"/>
        <v>0</v>
      </c>
      <c r="CC34" s="418">
        <f t="shared" si="38"/>
        <v>0</v>
      </c>
      <c r="CD34" s="418">
        <f t="shared" si="38"/>
        <v>0</v>
      </c>
      <c r="CE34" s="418">
        <f t="shared" si="39"/>
        <v>0</v>
      </c>
      <c r="CF34" s="418"/>
      <c r="CG34" s="418">
        <f t="shared" si="45"/>
        <v>0</v>
      </c>
      <c r="DB34" s="333"/>
    </row>
    <row r="35" spans="1:106">
      <c r="A35" s="185"/>
      <c r="C35" s="358"/>
      <c r="E35" s="185"/>
      <c r="F35" s="196"/>
      <c r="G35" s="426"/>
      <c r="H35" s="426"/>
      <c r="M35" s="337"/>
      <c r="N35" s="187"/>
      <c r="R35" s="321"/>
      <c r="T35" s="427"/>
      <c r="V35" s="428"/>
      <c r="X35" s="339"/>
      <c r="Y35" s="339"/>
      <c r="Z35" s="339"/>
      <c r="AA35" s="337"/>
      <c r="AB35" s="337"/>
      <c r="AF35" s="337"/>
      <c r="AH35" s="337"/>
      <c r="AN35" s="337"/>
      <c r="AR35" s="337"/>
      <c r="AU35" s="400"/>
      <c r="AW35" s="400"/>
      <c r="AY35" s="400"/>
      <c r="AZ35" s="400"/>
      <c r="BB35" s="339"/>
      <c r="BC35" s="386"/>
      <c r="BG35" s="336"/>
      <c r="BJ35" s="429"/>
      <c r="BP35" s="337"/>
      <c r="BT35" s="428"/>
      <c r="BV35" s="336"/>
      <c r="BY35" s="429"/>
      <c r="CA35" s="337"/>
      <c r="CG35" s="428"/>
      <c r="DB35" s="333">
        <f>$J21</f>
        <v>8</v>
      </c>
    </row>
    <row r="36" spans="1:106">
      <c r="A36" s="185" t="s">
        <v>77</v>
      </c>
      <c r="C36" s="356">
        <f>+'Gas Input Table Summary'!$E$24</f>
        <v>0</v>
      </c>
      <c r="E36" s="430" t="s">
        <v>91</v>
      </c>
      <c r="F36" s="431"/>
      <c r="H36" s="432">
        <f>+'Gas Input Table Summary'!E58</f>
        <v>1.302</v>
      </c>
      <c r="J36" s="321"/>
      <c r="K36" s="187" t="s">
        <v>211</v>
      </c>
      <c r="M36" s="369">
        <f>SUM(M14:M34)</f>
        <v>0</v>
      </c>
      <c r="N36" s="187"/>
      <c r="R36" s="321"/>
      <c r="S36" s="374"/>
      <c r="T36" s="427"/>
      <c r="V36" s="374">
        <f>SUM(V14:V34)</f>
        <v>0</v>
      </c>
      <c r="X36" s="357"/>
      <c r="Y36" s="357"/>
      <c r="Z36" s="357"/>
      <c r="AA36" s="357">
        <f>SUM(AA14:AA34)</f>
        <v>0</v>
      </c>
      <c r="AB36" s="357">
        <f>SUM(AB14:AB34)</f>
        <v>0</v>
      </c>
      <c r="AD36" s="185" t="s">
        <v>78</v>
      </c>
      <c r="AE36" s="369"/>
      <c r="AF36" s="357"/>
      <c r="AG36" s="357"/>
      <c r="AH36" s="357">
        <f>SUM(AH14:AH34)</f>
        <v>0</v>
      </c>
      <c r="AL36" s="357">
        <f>SUM(AL14:AL34)</f>
        <v>0</v>
      </c>
      <c r="AN36" s="357">
        <f>SUM(AN14:AN34)</f>
        <v>0</v>
      </c>
      <c r="AP36" s="185" t="s">
        <v>78</v>
      </c>
      <c r="AQ36" s="369"/>
      <c r="AR36" s="357"/>
      <c r="AS36" s="357"/>
      <c r="AU36" s="393"/>
      <c r="AW36" s="393"/>
      <c r="AY36" s="393"/>
      <c r="AZ36" s="433">
        <f>SUM(AZ14:AZ34)</f>
        <v>0</v>
      </c>
      <c r="BB36" s="357"/>
      <c r="BC36" s="357"/>
      <c r="BD36" s="357">
        <f>SUM(BD14:BD34)</f>
        <v>0</v>
      </c>
      <c r="BE36" s="357">
        <f>SUM(BE14:BE34)</f>
        <v>0</v>
      </c>
      <c r="BG36" s="434" t="s">
        <v>211</v>
      </c>
      <c r="BI36" s="357"/>
      <c r="BJ36" s="369">
        <f>SUM(BJ14:BJ34)</f>
        <v>0</v>
      </c>
      <c r="BK36" s="427"/>
      <c r="BL36" s="357"/>
      <c r="BN36" s="357"/>
      <c r="BO36" s="357"/>
      <c r="BP36" s="357">
        <f>SUM(BP14:BP34)</f>
        <v>0</v>
      </c>
      <c r="BR36" s="357">
        <f>SUM(BR14:BR34)</f>
        <v>0</v>
      </c>
      <c r="BS36" s="357"/>
      <c r="BT36" s="357">
        <f>SUM(BT14:BT34)</f>
        <v>0</v>
      </c>
      <c r="BX36" s="357"/>
      <c r="BY36" s="369"/>
      <c r="BZ36" s="434" t="s">
        <v>211</v>
      </c>
      <c r="CA36" s="357">
        <f>SUM(CA14:CA34)</f>
        <v>0</v>
      </c>
      <c r="CC36" s="357"/>
      <c r="CD36" s="357"/>
      <c r="CE36" s="357">
        <f>SUM(CE14:CE34)</f>
        <v>0</v>
      </c>
      <c r="CF36" s="357"/>
      <c r="CG36" s="357">
        <f>SUM(CG14:CG34)</f>
        <v>0</v>
      </c>
      <c r="DB36" s="333"/>
    </row>
    <row r="37" spans="1:106">
      <c r="A37" s="187" t="s">
        <v>47</v>
      </c>
      <c r="C37" s="358">
        <f>+'Gas Input Table Summary'!$E$25</f>
        <v>0</v>
      </c>
      <c r="E37" s="274"/>
      <c r="F37" s="435"/>
      <c r="H37" s="274"/>
      <c r="M37" s="369"/>
      <c r="N37" s="187"/>
      <c r="R37" s="321"/>
      <c r="S37" s="436"/>
      <c r="T37" s="337" t="s">
        <v>80</v>
      </c>
      <c r="V37" s="436">
        <f>ROUND(V14+NPV($C$41,V15:V34),0)</f>
        <v>0</v>
      </c>
      <c r="X37" s="357"/>
      <c r="Y37" s="357"/>
      <c r="Z37" s="357"/>
      <c r="AA37" s="357">
        <f>ROUND(AA14+NPV($C$41,AA15:AA34),0)</f>
        <v>0</v>
      </c>
      <c r="AB37" s="357">
        <f>ROUND(AB14+NPV($C$41,AB15:AB34),0)</f>
        <v>0</v>
      </c>
      <c r="AF37" s="357"/>
      <c r="AG37" s="185" t="s">
        <v>80</v>
      </c>
      <c r="AH37" s="357">
        <f>ROUND(AH14+NPV($C$41,AH15:AH34),0)</f>
        <v>0</v>
      </c>
      <c r="AL37" s="357">
        <f>ROUND(AL14+NPV($C$41,AL15:AL34),0)</f>
        <v>0</v>
      </c>
      <c r="AN37" s="357">
        <f>+AH37-AL37</f>
        <v>0</v>
      </c>
      <c r="AR37" s="357"/>
      <c r="AS37" s="357"/>
      <c r="AU37" s="393"/>
      <c r="AW37" s="185" t="s">
        <v>80</v>
      </c>
      <c r="AY37" s="393"/>
      <c r="AZ37" s="357">
        <f>ROUND(AZ14+NPV($C$43,AZ15:AZ34),0)</f>
        <v>0</v>
      </c>
      <c r="BB37" s="357"/>
      <c r="BC37" s="357"/>
      <c r="BD37" s="357">
        <f>ROUND(BD14+NPV($C$43,BD15:BD34),0)</f>
        <v>0</v>
      </c>
      <c r="BE37" s="357">
        <f>AZ37-BD37</f>
        <v>0</v>
      </c>
      <c r="BG37" s="336"/>
      <c r="BI37" s="357"/>
      <c r="BL37" s="357"/>
      <c r="BN37" s="357" t="s">
        <v>203</v>
      </c>
      <c r="BO37" s="357"/>
      <c r="BP37" s="357">
        <f>ROUND(BP14+NPV($C$39,BP15:BP34),0)</f>
        <v>0</v>
      </c>
      <c r="BR37" s="357">
        <f>ROUND(BR14+NPV($C$39,BR15:BR34),0)</f>
        <v>0</v>
      </c>
      <c r="BS37" s="357"/>
      <c r="BT37" s="369">
        <f>ROUND(BT14+NPV($C$39,BT15:BT34),0)</f>
        <v>0</v>
      </c>
      <c r="BV37" s="336"/>
      <c r="BX37" s="357"/>
      <c r="BZ37" s="357" t="s">
        <v>203</v>
      </c>
      <c r="CA37" s="357">
        <f>ROUND(CA14+NPV($C$41,CA15:CA34),0)</f>
        <v>0</v>
      </c>
      <c r="CC37" s="357"/>
      <c r="CD37" s="357"/>
      <c r="CE37" s="357">
        <f>ROUND(CE14+NPV($C$41,CE15:CE34),0)</f>
        <v>0</v>
      </c>
      <c r="CF37" s="357"/>
      <c r="CG37" s="369">
        <f>ROUND(CG14+NPV($C$41,CG15:CG34),0)</f>
        <v>0</v>
      </c>
      <c r="DB37" s="333">
        <f>$J22</f>
        <v>9</v>
      </c>
    </row>
    <row r="38" spans="1:106">
      <c r="C38" s="358"/>
      <c r="E38" s="437" t="s">
        <v>98</v>
      </c>
      <c r="F38" s="274"/>
      <c r="H38" s="438">
        <f>+'Gas Input Table Summary'!E59</f>
        <v>0.35</v>
      </c>
      <c r="M38" s="369"/>
      <c r="N38" s="187"/>
      <c r="R38" s="321"/>
      <c r="T38" s="427"/>
      <c r="V38" s="386"/>
      <c r="X38" s="185" t="s">
        <v>81</v>
      </c>
      <c r="Z38" s="369"/>
      <c r="AA38" s="369"/>
      <c r="AB38" s="386"/>
      <c r="AF38" s="369"/>
      <c r="AH38" s="369"/>
      <c r="AI38" s="369"/>
      <c r="AR38" s="369"/>
      <c r="AY38" s="369"/>
      <c r="AZ38" s="369"/>
      <c r="BA38" s="369"/>
      <c r="BB38" s="369"/>
      <c r="BC38" s="369"/>
      <c r="BD38" s="369"/>
      <c r="BE38" s="369"/>
      <c r="BF38" s="369"/>
      <c r="BG38" s="336"/>
      <c r="BI38" s="357"/>
      <c r="BP38" s="369"/>
      <c r="BS38" s="369"/>
      <c r="BU38" s="369"/>
      <c r="BV38" s="336"/>
      <c r="BX38" s="357"/>
      <c r="CA38" s="369"/>
      <c r="CF38" s="369"/>
      <c r="DB38" s="333"/>
    </row>
    <row r="39" spans="1:106">
      <c r="A39" s="185" t="s">
        <v>79</v>
      </c>
      <c r="C39" s="361">
        <f>+'Gas Input Table Summary'!$E$26</f>
        <v>0.1</v>
      </c>
      <c r="E39" s="183" t="s">
        <v>225</v>
      </c>
      <c r="K39" s="185" t="s">
        <v>83</v>
      </c>
      <c r="M39" s="369"/>
      <c r="N39" s="357">
        <f>AB37</f>
        <v>0</v>
      </c>
      <c r="Q39" s="357"/>
      <c r="R39" s="321"/>
      <c r="T39" s="427"/>
      <c r="U39" s="427"/>
      <c r="V39" s="369"/>
      <c r="X39" s="185" t="s">
        <v>81</v>
      </c>
      <c r="Z39" s="369"/>
      <c r="AA39" s="369"/>
      <c r="AB39" s="386"/>
      <c r="AD39" s="185" t="s">
        <v>83</v>
      </c>
      <c r="AF39" s="369"/>
      <c r="AG39" s="357">
        <f>AN37</f>
        <v>0</v>
      </c>
      <c r="AH39" s="357"/>
      <c r="AI39" s="369"/>
      <c r="AM39" s="369"/>
      <c r="AP39" s="185" t="s">
        <v>83</v>
      </c>
      <c r="AR39" s="369"/>
      <c r="AS39" s="357">
        <f>BE37</f>
        <v>0</v>
      </c>
      <c r="AU39" s="357"/>
      <c r="AW39" s="357"/>
      <c r="AY39" s="369"/>
      <c r="AZ39" s="369"/>
      <c r="BA39" s="439"/>
      <c r="BB39" s="369"/>
      <c r="BC39" s="369"/>
      <c r="BD39" s="369"/>
      <c r="BF39" s="369"/>
      <c r="BG39" s="185" t="s">
        <v>83</v>
      </c>
      <c r="BJ39" s="357">
        <f>BT37</f>
        <v>0</v>
      </c>
      <c r="BK39" s="357"/>
      <c r="BP39" s="369"/>
      <c r="BS39" s="369"/>
      <c r="BT39" s="369"/>
      <c r="BU39" s="369"/>
      <c r="BV39" s="185" t="s">
        <v>83</v>
      </c>
      <c r="BY39" s="357">
        <f>CG37</f>
        <v>0</v>
      </c>
      <c r="BZ39" s="357"/>
      <c r="CA39" s="369"/>
      <c r="CF39" s="369"/>
      <c r="CG39" s="369"/>
      <c r="DB39" s="333"/>
    </row>
    <row r="40" spans="1:106" ht="13.8" thickBot="1">
      <c r="A40" s="185"/>
      <c r="C40" s="361"/>
      <c r="F40" s="368"/>
      <c r="K40" s="185" t="s">
        <v>84</v>
      </c>
      <c r="N40" s="440" t="e">
        <f>ROUND(V37/AA37,2)</f>
        <v>#DIV/0!</v>
      </c>
      <c r="Q40" s="427"/>
      <c r="R40" s="321"/>
      <c r="AB40" s="386"/>
      <c r="AD40" s="185" t="s">
        <v>84</v>
      </c>
      <c r="AF40" s="427"/>
      <c r="AG40" s="441" t="e">
        <f>ROUND(AH37/AL37,2)</f>
        <v>#DIV/0!</v>
      </c>
      <c r="AH40" s="427"/>
      <c r="AP40" s="185" t="s">
        <v>84</v>
      </c>
      <c r="AR40" s="427"/>
      <c r="AS40" s="441" t="e">
        <f>ROUND(AZ37/BD37,2)</f>
        <v>#DIV/0!</v>
      </c>
      <c r="AU40" s="427"/>
      <c r="AW40" s="427"/>
      <c r="AZ40" s="187"/>
      <c r="BD40" s="369"/>
      <c r="BG40" s="185" t="s">
        <v>84</v>
      </c>
      <c r="BJ40" s="441" t="e">
        <f>ROUND(BP37/BR37,20)</f>
        <v>#DIV/0!</v>
      </c>
      <c r="BK40" s="427"/>
      <c r="BV40" s="185" t="s">
        <v>84</v>
      </c>
      <c r="BY40" s="441" t="e">
        <f>ROUND(CA37/CE37,2)</f>
        <v>#DIV/0!</v>
      </c>
      <c r="BZ40" s="427"/>
      <c r="DB40" s="333">
        <f>$J23</f>
        <v>10</v>
      </c>
    </row>
    <row r="41" spans="1:106" ht="13.8" thickTop="1">
      <c r="A41" s="185" t="s">
        <v>82</v>
      </c>
      <c r="C41" s="361">
        <f>+'Gas Input Table Summary'!$E$27</f>
        <v>7.5999999999999998E-2</v>
      </c>
      <c r="E41" s="59" t="s">
        <v>88</v>
      </c>
      <c r="F41" s="60" t="s">
        <v>89</v>
      </c>
      <c r="G41" s="61" t="s">
        <v>90</v>
      </c>
      <c r="J41" s="355"/>
      <c r="K41" s="442"/>
      <c r="L41" s="355"/>
      <c r="M41" s="355"/>
      <c r="N41" s="355"/>
      <c r="O41" s="355"/>
      <c r="Q41" s="355"/>
      <c r="R41" s="443"/>
      <c r="S41" s="355"/>
      <c r="T41" s="355"/>
      <c r="U41" s="355"/>
      <c r="V41" s="355"/>
      <c r="W41" s="355"/>
      <c r="X41" s="355"/>
      <c r="AB41" s="386"/>
      <c r="AD41" s="185"/>
      <c r="AM41" s="444"/>
      <c r="AN41" s="185"/>
      <c r="AP41" s="185"/>
      <c r="AZ41" s="187"/>
      <c r="BB41" s="444"/>
      <c r="BE41" s="185"/>
      <c r="BG41" s="336"/>
      <c r="BV41" s="336"/>
      <c r="DB41" s="333">
        <f>$J24</f>
        <v>11</v>
      </c>
    </row>
    <row r="42" spans="1:106">
      <c r="E42" s="445" t="s">
        <v>5</v>
      </c>
      <c r="F42" s="446">
        <f>N39</f>
        <v>0</v>
      </c>
      <c r="G42" s="447" t="e">
        <f>N40</f>
        <v>#DIV/0!</v>
      </c>
      <c r="J42" s="75"/>
      <c r="K42" s="75"/>
      <c r="L42" s="448"/>
      <c r="M42" s="448"/>
      <c r="N42" s="448"/>
      <c r="O42" s="448"/>
      <c r="Q42" s="448"/>
      <c r="R42" s="448"/>
      <c r="S42" s="448"/>
      <c r="T42" s="448"/>
      <c r="U42" s="448"/>
      <c r="V42" s="448"/>
      <c r="W42" s="448"/>
      <c r="X42" s="448"/>
      <c r="AB42" s="386"/>
      <c r="AZ42" s="187"/>
      <c r="BD42" s="336"/>
      <c r="DB42" s="333">
        <f>$J25</f>
        <v>12</v>
      </c>
    </row>
    <row r="43" spans="1:106">
      <c r="A43" s="187" t="s">
        <v>85</v>
      </c>
      <c r="C43" s="361">
        <f>+'Gas Input Table Summary'!$E$28</f>
        <v>3.56E-2</v>
      </c>
      <c r="E43" s="449" t="s">
        <v>6</v>
      </c>
      <c r="F43" s="374">
        <f>AG39</f>
        <v>0</v>
      </c>
      <c r="G43" s="450" t="e">
        <f>AG40</f>
        <v>#DIV/0!</v>
      </c>
      <c r="J43" s="76" t="s">
        <v>124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8"/>
      <c r="AB43" s="386"/>
      <c r="AD43" s="76" t="s">
        <v>124</v>
      </c>
      <c r="AE43" s="77"/>
      <c r="AF43" s="451"/>
      <c r="AG43" s="451"/>
      <c r="AH43" s="452"/>
      <c r="AI43" s="452"/>
      <c r="AJ43" s="452"/>
      <c r="AK43" s="452"/>
      <c r="AN43" s="185"/>
      <c r="AP43" s="76" t="s">
        <v>124</v>
      </c>
      <c r="AQ43" s="77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2"/>
      <c r="BG43" s="76" t="s">
        <v>124</v>
      </c>
      <c r="BH43" s="77"/>
      <c r="BI43" s="451"/>
      <c r="BJ43" s="451"/>
      <c r="BK43" s="452"/>
      <c r="BL43" s="452"/>
      <c r="BM43" s="452"/>
      <c r="BN43" s="452"/>
      <c r="BO43" s="448"/>
      <c r="BP43" s="448" t="s">
        <v>81</v>
      </c>
      <c r="BQ43" s="448"/>
      <c r="BR43" s="448"/>
      <c r="BV43" s="76" t="s">
        <v>124</v>
      </c>
      <c r="BW43" s="77"/>
      <c r="BX43" s="451"/>
      <c r="BY43" s="451"/>
      <c r="BZ43" s="452"/>
      <c r="CA43" s="448" t="s">
        <v>81</v>
      </c>
      <c r="CB43" s="448"/>
      <c r="CC43" s="448"/>
      <c r="CD43" s="448"/>
      <c r="CE43" s="448"/>
      <c r="CI43" s="381"/>
      <c r="DB43" s="333">
        <f>$J26</f>
        <v>13</v>
      </c>
    </row>
    <row r="44" spans="1:106">
      <c r="E44" s="453" t="s">
        <v>7</v>
      </c>
      <c r="F44" s="374">
        <f>AS39</f>
        <v>0</v>
      </c>
      <c r="G44" s="450" t="e">
        <f>AS40</f>
        <v>#DIV/0!</v>
      </c>
      <c r="J44" s="454" t="s">
        <v>48</v>
      </c>
      <c r="K44" s="171" t="s">
        <v>121</v>
      </c>
      <c r="L44" s="455"/>
      <c r="M44" s="455"/>
      <c r="N44" s="455"/>
      <c r="O44" s="455"/>
      <c r="P44" s="455"/>
      <c r="Q44" s="455"/>
      <c r="R44" s="455"/>
      <c r="S44" s="455"/>
      <c r="T44" s="456" t="s">
        <v>56</v>
      </c>
      <c r="U44" s="171" t="s">
        <v>142</v>
      </c>
      <c r="V44" s="455"/>
      <c r="W44" s="455"/>
      <c r="X44" s="457"/>
      <c r="AB44" s="337"/>
      <c r="AD44" s="454" t="s">
        <v>48</v>
      </c>
      <c r="AE44" s="171" t="s">
        <v>162</v>
      </c>
      <c r="AF44" s="455"/>
      <c r="AG44" s="455"/>
      <c r="AH44" s="455"/>
      <c r="AI44" s="455"/>
      <c r="AJ44" s="455"/>
      <c r="AK44" s="457"/>
      <c r="AN44" s="185"/>
      <c r="AP44" s="458" t="s">
        <v>48</v>
      </c>
      <c r="AQ44" s="171" t="s">
        <v>162</v>
      </c>
      <c r="AR44" s="455"/>
      <c r="AS44" s="455"/>
      <c r="AU44" s="455"/>
      <c r="AW44" s="459" t="s">
        <v>55</v>
      </c>
      <c r="AZ44" s="363" t="s">
        <v>152</v>
      </c>
      <c r="BA44" s="339"/>
      <c r="BC44" s="339"/>
      <c r="BD44" s="455"/>
      <c r="BE44" s="457"/>
      <c r="BG44" s="460" t="s">
        <v>48</v>
      </c>
      <c r="BH44" s="171" t="s">
        <v>156</v>
      </c>
      <c r="BI44" s="455"/>
      <c r="BJ44" s="455"/>
      <c r="BK44" s="455"/>
      <c r="BL44" s="455"/>
      <c r="BM44" s="455"/>
      <c r="BN44" s="457"/>
      <c r="BV44" s="460" t="s">
        <v>48</v>
      </c>
      <c r="BW44" s="171" t="s">
        <v>162</v>
      </c>
      <c r="BX44" s="455"/>
      <c r="BY44" s="455"/>
      <c r="BZ44" s="457"/>
      <c r="CI44" s="381"/>
      <c r="DB44" s="333"/>
    </row>
    <row r="45" spans="1:106">
      <c r="A45" s="185" t="s">
        <v>86</v>
      </c>
      <c r="C45" s="461">
        <f>+'Res .95+% Res Furnace - NEW'!C45</f>
        <v>2014</v>
      </c>
      <c r="E45" s="449" t="s">
        <v>8</v>
      </c>
      <c r="F45" s="374">
        <f>BJ39</f>
        <v>0</v>
      </c>
      <c r="G45" s="450" t="e">
        <f>BJ40</f>
        <v>#DIV/0!</v>
      </c>
      <c r="J45" s="462" t="s">
        <v>49</v>
      </c>
      <c r="K45" s="172" t="s">
        <v>139</v>
      </c>
      <c r="L45" s="339"/>
      <c r="M45" s="339"/>
      <c r="N45" s="339"/>
      <c r="O45" s="339"/>
      <c r="P45" s="339"/>
      <c r="Q45" s="339"/>
      <c r="R45" s="339"/>
      <c r="S45" s="339"/>
      <c r="T45" s="459" t="s">
        <v>57</v>
      </c>
      <c r="U45" s="172" t="s">
        <v>143</v>
      </c>
      <c r="V45" s="339"/>
      <c r="W45" s="339"/>
      <c r="X45" s="463"/>
      <c r="AB45" s="357"/>
      <c r="AD45" s="462" t="s">
        <v>49</v>
      </c>
      <c r="AE45" s="464" t="s">
        <v>163</v>
      </c>
      <c r="AF45" s="339"/>
      <c r="AG45" s="339"/>
      <c r="AH45" s="339"/>
      <c r="AI45" s="339"/>
      <c r="AJ45" s="339"/>
      <c r="AK45" s="463"/>
      <c r="AP45" s="465" t="s">
        <v>54</v>
      </c>
      <c r="AQ45" s="172" t="s">
        <v>163</v>
      </c>
      <c r="AR45" s="339"/>
      <c r="AS45" s="339"/>
      <c r="AU45" s="339"/>
      <c r="AW45" s="459" t="s">
        <v>56</v>
      </c>
      <c r="AZ45" s="464" t="s">
        <v>153</v>
      </c>
      <c r="BA45" s="339"/>
      <c r="BC45" s="339"/>
      <c r="BD45" s="339"/>
      <c r="BE45" s="463"/>
      <c r="BG45" s="466" t="s">
        <v>49</v>
      </c>
      <c r="BH45" s="172" t="s">
        <v>125</v>
      </c>
      <c r="BI45" s="339"/>
      <c r="BJ45" s="339"/>
      <c r="BK45" s="339"/>
      <c r="BL45" s="339"/>
      <c r="BM45" s="339"/>
      <c r="BN45" s="463"/>
      <c r="BV45" s="466" t="s">
        <v>49</v>
      </c>
      <c r="BW45" s="172" t="s">
        <v>163</v>
      </c>
      <c r="BX45" s="339"/>
      <c r="BY45" s="339"/>
      <c r="BZ45" s="463"/>
      <c r="CI45" s="381"/>
      <c r="DB45" s="333"/>
    </row>
    <row r="46" spans="1:106">
      <c r="C46" s="336"/>
      <c r="E46" s="180" t="s">
        <v>216</v>
      </c>
      <c r="F46" s="467">
        <f>BY39</f>
        <v>0</v>
      </c>
      <c r="G46" s="468" t="e">
        <f>BY40</f>
        <v>#DIV/0!</v>
      </c>
      <c r="J46" s="462" t="s">
        <v>50</v>
      </c>
      <c r="K46" s="464" t="s">
        <v>120</v>
      </c>
      <c r="L46" s="339"/>
      <c r="M46" s="339"/>
      <c r="N46" s="339"/>
      <c r="O46" s="339"/>
      <c r="P46" s="339"/>
      <c r="Q46" s="339"/>
      <c r="R46" s="339"/>
      <c r="S46" s="339"/>
      <c r="T46" s="459" t="s">
        <v>58</v>
      </c>
      <c r="U46" s="172" t="s">
        <v>159</v>
      </c>
      <c r="V46" s="339"/>
      <c r="W46" s="339"/>
      <c r="X46" s="463"/>
      <c r="AB46" s="369"/>
      <c r="AD46" s="462" t="s">
        <v>50</v>
      </c>
      <c r="AE46" s="464" t="s">
        <v>164</v>
      </c>
      <c r="AF46" s="339"/>
      <c r="AG46" s="339"/>
      <c r="AH46" s="339"/>
      <c r="AI46" s="339"/>
      <c r="AJ46" s="339"/>
      <c r="AK46" s="463"/>
      <c r="AP46" s="465" t="s">
        <v>50</v>
      </c>
      <c r="AQ46" s="173" t="s">
        <v>199</v>
      </c>
      <c r="AR46" s="355"/>
      <c r="AS46" s="355"/>
      <c r="AU46" s="355"/>
      <c r="AW46" s="459" t="s">
        <v>57</v>
      </c>
      <c r="AZ46" s="464" t="s">
        <v>154</v>
      </c>
      <c r="BA46" s="339"/>
      <c r="BC46" s="339"/>
      <c r="BD46" s="339"/>
      <c r="BE46" s="463"/>
      <c r="BG46" s="466" t="s">
        <v>50</v>
      </c>
      <c r="BH46" s="174" t="s">
        <v>129</v>
      </c>
      <c r="BI46" s="355"/>
      <c r="BJ46" s="355"/>
      <c r="BK46" s="339"/>
      <c r="BL46" s="355"/>
      <c r="BM46" s="459"/>
      <c r="BN46" s="469"/>
      <c r="BV46" s="466" t="s">
        <v>50</v>
      </c>
      <c r="BW46" s="172" t="s">
        <v>218</v>
      </c>
      <c r="BX46" s="355"/>
      <c r="BY46" s="355"/>
      <c r="BZ46" s="463"/>
      <c r="CI46" s="381"/>
      <c r="DB46" s="333"/>
    </row>
    <row r="47" spans="1:106">
      <c r="A47" s="185" t="s">
        <v>87</v>
      </c>
      <c r="C47" s="461">
        <f>+'Res .95+% Res Furnace - NEW'!C47</f>
        <v>2015</v>
      </c>
      <c r="J47" s="462" t="s">
        <v>51</v>
      </c>
      <c r="K47" s="172" t="s">
        <v>138</v>
      </c>
      <c r="L47" s="339"/>
      <c r="M47" s="339"/>
      <c r="N47" s="339"/>
      <c r="O47" s="339"/>
      <c r="P47" s="339"/>
      <c r="Q47" s="339"/>
      <c r="R47" s="339"/>
      <c r="S47" s="339"/>
      <c r="T47" s="459" t="s">
        <v>59</v>
      </c>
      <c r="U47" s="404" t="s">
        <v>160</v>
      </c>
      <c r="V47" s="339"/>
      <c r="W47" s="339"/>
      <c r="X47" s="463"/>
      <c r="AB47" s="369"/>
      <c r="AD47" s="462" t="s">
        <v>51</v>
      </c>
      <c r="AE47" s="172" t="s">
        <v>126</v>
      </c>
      <c r="AF47" s="339"/>
      <c r="AG47" s="339"/>
      <c r="AH47" s="339"/>
      <c r="AI47" s="339"/>
      <c r="AJ47" s="339"/>
      <c r="AK47" s="463"/>
      <c r="AO47" s="185"/>
      <c r="AP47" s="465" t="s">
        <v>51</v>
      </c>
      <c r="AQ47" s="173" t="s">
        <v>151</v>
      </c>
      <c r="AR47" s="355"/>
      <c r="AS47" s="355"/>
      <c r="AU47" s="355"/>
      <c r="AW47" s="459" t="s">
        <v>58</v>
      </c>
      <c r="AZ47" s="464" t="s">
        <v>155</v>
      </c>
      <c r="BA47" s="339"/>
      <c r="BC47" s="339"/>
      <c r="BD47" s="339"/>
      <c r="BE47" s="463"/>
      <c r="BG47" s="466" t="s">
        <v>51</v>
      </c>
      <c r="BH47" s="173" t="s">
        <v>130</v>
      </c>
      <c r="BI47" s="355"/>
      <c r="BJ47" s="355"/>
      <c r="BK47" s="339"/>
      <c r="BL47" s="355"/>
      <c r="BM47" s="459"/>
      <c r="BN47" s="469"/>
      <c r="BO47" s="339"/>
      <c r="BP47" s="339"/>
      <c r="BQ47" s="339"/>
      <c r="BR47" s="339"/>
      <c r="BV47" s="466" t="s">
        <v>51</v>
      </c>
      <c r="BW47" s="172" t="s">
        <v>127</v>
      </c>
      <c r="BX47" s="355"/>
      <c r="BY47" s="355"/>
      <c r="BZ47" s="463"/>
      <c r="CA47" s="339"/>
      <c r="CB47" s="339"/>
      <c r="CC47" s="339"/>
      <c r="CD47" s="339"/>
      <c r="CE47" s="339"/>
      <c r="CI47" s="381"/>
      <c r="DB47" s="333"/>
    </row>
    <row r="48" spans="1:106">
      <c r="A48" s="185"/>
      <c r="C48" s="366"/>
      <c r="J48" s="462" t="s">
        <v>52</v>
      </c>
      <c r="K48" s="464" t="s">
        <v>140</v>
      </c>
      <c r="L48" s="339"/>
      <c r="M48" s="339"/>
      <c r="N48" s="339"/>
      <c r="O48" s="348"/>
      <c r="P48" s="339"/>
      <c r="Q48" s="339"/>
      <c r="R48" s="339"/>
      <c r="S48" s="339"/>
      <c r="T48" s="459" t="s">
        <v>60</v>
      </c>
      <c r="U48" s="172" t="s">
        <v>146</v>
      </c>
      <c r="V48" s="339"/>
      <c r="W48" s="339"/>
      <c r="X48" s="463"/>
      <c r="AD48" s="462" t="s">
        <v>52</v>
      </c>
      <c r="AE48" s="172" t="s">
        <v>156</v>
      </c>
      <c r="AF48" s="339"/>
      <c r="AG48" s="339"/>
      <c r="AH48" s="339"/>
      <c r="AI48" s="339"/>
      <c r="AJ48" s="339"/>
      <c r="AK48" s="463"/>
      <c r="AP48" s="465" t="s">
        <v>52</v>
      </c>
      <c r="AQ48" s="173" t="s">
        <v>134</v>
      </c>
      <c r="AR48" s="355"/>
      <c r="AS48" s="355"/>
      <c r="AU48" s="355"/>
      <c r="AW48" s="459"/>
      <c r="AZ48" s="187"/>
      <c r="BA48" s="339"/>
      <c r="BC48" s="339"/>
      <c r="BD48" s="339"/>
      <c r="BE48" s="463"/>
      <c r="BG48" s="466" t="s">
        <v>52</v>
      </c>
      <c r="BH48" s="173" t="s">
        <v>165</v>
      </c>
      <c r="BI48" s="355"/>
      <c r="BJ48" s="355"/>
      <c r="BK48" s="339"/>
      <c r="BL48" s="355"/>
      <c r="BM48" s="355"/>
      <c r="BN48" s="463"/>
      <c r="BO48" s="339"/>
      <c r="BP48" s="339"/>
      <c r="BQ48" s="339"/>
      <c r="BR48" s="339"/>
      <c r="BV48" s="466" t="s">
        <v>52</v>
      </c>
      <c r="BW48" s="172" t="s">
        <v>222</v>
      </c>
      <c r="BX48" s="355"/>
      <c r="BY48" s="355"/>
      <c r="BZ48" s="463"/>
      <c r="CA48" s="339"/>
      <c r="CB48" s="339"/>
      <c r="CC48" s="339"/>
      <c r="CD48" s="339"/>
      <c r="CE48" s="339"/>
      <c r="CI48" s="381"/>
      <c r="DB48" s="333"/>
    </row>
    <row r="49" spans="1:108">
      <c r="A49" s="185"/>
      <c r="C49" s="336"/>
      <c r="J49" s="462" t="s">
        <v>53</v>
      </c>
      <c r="K49" s="172" t="s">
        <v>141</v>
      </c>
      <c r="L49" s="339"/>
      <c r="M49" s="339"/>
      <c r="N49" s="339"/>
      <c r="O49" s="339"/>
      <c r="P49" s="339"/>
      <c r="Q49" s="339"/>
      <c r="R49" s="339"/>
      <c r="S49" s="339"/>
      <c r="T49" s="459" t="s">
        <v>61</v>
      </c>
      <c r="U49" s="464" t="s">
        <v>128</v>
      </c>
      <c r="V49" s="339"/>
      <c r="W49" s="339"/>
      <c r="X49" s="463"/>
      <c r="AD49" s="462" t="s">
        <v>53</v>
      </c>
      <c r="AE49" s="464" t="s">
        <v>148</v>
      </c>
      <c r="AF49" s="339"/>
      <c r="AG49" s="339"/>
      <c r="AH49" s="339"/>
      <c r="AI49" s="339"/>
      <c r="AJ49" s="339"/>
      <c r="AK49" s="463"/>
      <c r="AP49" s="465" t="s">
        <v>53</v>
      </c>
      <c r="AQ49" s="172" t="s">
        <v>135</v>
      </c>
      <c r="AR49" s="339"/>
      <c r="AS49" s="339"/>
      <c r="AU49" s="339"/>
      <c r="AW49" s="459"/>
      <c r="AZ49" s="187"/>
      <c r="BA49" s="339"/>
      <c r="BC49" s="339"/>
      <c r="BD49" s="339"/>
      <c r="BE49" s="463"/>
      <c r="BG49" s="466" t="s">
        <v>53</v>
      </c>
      <c r="BH49" s="173" t="s">
        <v>365</v>
      </c>
      <c r="BI49" s="355"/>
      <c r="BJ49" s="355"/>
      <c r="BK49" s="339"/>
      <c r="BL49" s="355"/>
      <c r="BM49" s="459"/>
      <c r="BN49" s="463"/>
      <c r="BO49" s="339"/>
      <c r="BP49" s="339"/>
      <c r="BQ49" s="339"/>
      <c r="BR49" s="339"/>
      <c r="BV49" s="466" t="s">
        <v>53</v>
      </c>
      <c r="BW49" s="172" t="s">
        <v>223</v>
      </c>
      <c r="BX49" s="355"/>
      <c r="BY49" s="355"/>
      <c r="BZ49" s="463"/>
      <c r="CA49" s="339"/>
      <c r="CB49" s="339"/>
      <c r="CC49" s="339"/>
      <c r="CD49" s="339"/>
      <c r="CE49" s="339"/>
      <c r="DB49" s="333">
        <f>$J27</f>
        <v>14</v>
      </c>
    </row>
    <row r="50" spans="1:108">
      <c r="J50" s="462" t="s">
        <v>54</v>
      </c>
      <c r="K50" s="172" t="s">
        <v>122</v>
      </c>
      <c r="L50" s="339"/>
      <c r="M50" s="339"/>
      <c r="N50" s="339"/>
      <c r="O50" s="339"/>
      <c r="P50" s="339"/>
      <c r="Q50" s="339"/>
      <c r="R50" s="339"/>
      <c r="S50" s="339"/>
      <c r="T50" s="459" t="s">
        <v>137</v>
      </c>
      <c r="U50" s="464" t="s">
        <v>161</v>
      </c>
      <c r="V50" s="339"/>
      <c r="W50" s="339"/>
      <c r="X50" s="463"/>
      <c r="AD50" s="180" t="s">
        <v>54</v>
      </c>
      <c r="AE50" s="470" t="s">
        <v>149</v>
      </c>
      <c r="AF50" s="346"/>
      <c r="AG50" s="346"/>
      <c r="AH50" s="346"/>
      <c r="AI50" s="346"/>
      <c r="AJ50" s="346"/>
      <c r="AK50" s="471"/>
      <c r="AP50" s="472" t="s">
        <v>54</v>
      </c>
      <c r="AQ50" s="473" t="s">
        <v>150</v>
      </c>
      <c r="AR50" s="346"/>
      <c r="AS50" s="346"/>
      <c r="AT50" s="346"/>
      <c r="AU50" s="346"/>
      <c r="AV50" s="346"/>
      <c r="AW50" s="474"/>
      <c r="AX50" s="474"/>
      <c r="AY50" s="474"/>
      <c r="AZ50" s="474"/>
      <c r="BA50" s="346"/>
      <c r="BB50" s="346"/>
      <c r="BC50" s="346"/>
      <c r="BD50" s="346"/>
      <c r="BE50" s="471"/>
      <c r="BG50" s="466" t="s">
        <v>54</v>
      </c>
      <c r="BH50" s="173" t="s">
        <v>157</v>
      </c>
      <c r="BI50" s="355"/>
      <c r="BJ50" s="355"/>
      <c r="BK50" s="339"/>
      <c r="BL50" s="355"/>
      <c r="BM50" s="459"/>
      <c r="BN50" s="463"/>
      <c r="BO50" s="339"/>
      <c r="BP50" s="339"/>
      <c r="BQ50" s="339"/>
      <c r="BR50" s="339"/>
      <c r="BV50" s="466" t="s">
        <v>54</v>
      </c>
      <c r="BW50" s="173" t="s">
        <v>219</v>
      </c>
      <c r="BX50" s="355"/>
      <c r="BY50" s="355"/>
      <c r="BZ50" s="463"/>
      <c r="CA50" s="339"/>
      <c r="CB50" s="339"/>
      <c r="CC50" s="339"/>
      <c r="CD50" s="339"/>
      <c r="CE50" s="339"/>
      <c r="DB50" s="333">
        <f>$J28</f>
        <v>15</v>
      </c>
    </row>
    <row r="51" spans="1:108">
      <c r="A51" s="339"/>
      <c r="B51" s="339"/>
      <c r="C51" s="339"/>
      <c r="J51" s="475" t="s">
        <v>55</v>
      </c>
      <c r="K51" s="476" t="s">
        <v>123</v>
      </c>
      <c r="L51" s="346"/>
      <c r="M51" s="346"/>
      <c r="N51" s="346"/>
      <c r="O51" s="346"/>
      <c r="P51" s="346"/>
      <c r="Q51" s="346"/>
      <c r="R51" s="346"/>
      <c r="S51" s="346"/>
      <c r="T51" s="474" t="s">
        <v>145</v>
      </c>
      <c r="U51" s="476" t="s">
        <v>147</v>
      </c>
      <c r="V51" s="346"/>
      <c r="W51" s="346"/>
      <c r="X51" s="471"/>
      <c r="AD51" s="459"/>
      <c r="AE51" s="339"/>
      <c r="AF51" s="339"/>
      <c r="AG51" s="339"/>
      <c r="AH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G51" s="466" t="s">
        <v>55</v>
      </c>
      <c r="BH51" s="174" t="s">
        <v>166</v>
      </c>
      <c r="BI51" s="339"/>
      <c r="BJ51" s="339"/>
      <c r="BK51" s="339"/>
      <c r="BL51" s="339"/>
      <c r="BM51" s="339"/>
      <c r="BN51" s="463"/>
      <c r="BO51" s="339"/>
      <c r="BP51" s="339"/>
      <c r="BQ51" s="339"/>
      <c r="BR51" s="339"/>
      <c r="BV51" s="466" t="s">
        <v>55</v>
      </c>
      <c r="BW51" s="174" t="s">
        <v>220</v>
      </c>
      <c r="BX51" s="339"/>
      <c r="BY51" s="339"/>
      <c r="BZ51" s="463"/>
      <c r="CA51" s="339"/>
      <c r="CB51" s="339"/>
      <c r="CC51" s="339"/>
      <c r="CD51" s="339"/>
      <c r="CE51" s="339"/>
      <c r="DB51" s="333">
        <f>$J29</f>
        <v>16</v>
      </c>
    </row>
    <row r="52" spans="1:108">
      <c r="A52" s="477"/>
      <c r="B52" s="339"/>
      <c r="C52" s="478"/>
      <c r="K52" s="193"/>
      <c r="N52" s="187"/>
      <c r="R52" s="32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G52" s="479" t="s">
        <v>56</v>
      </c>
      <c r="BH52" s="480" t="s">
        <v>158</v>
      </c>
      <c r="BI52" s="481"/>
      <c r="BJ52" s="481"/>
      <c r="BK52" s="481"/>
      <c r="BL52" s="481"/>
      <c r="BM52" s="346"/>
      <c r="BN52" s="471"/>
      <c r="BV52" s="479"/>
      <c r="BW52" s="346"/>
      <c r="BX52" s="481"/>
      <c r="BY52" s="481"/>
      <c r="BZ52" s="482"/>
      <c r="CL52" s="427"/>
      <c r="DB52" s="369"/>
    </row>
    <row r="53" spans="1:108">
      <c r="A53" s="339"/>
      <c r="B53" s="339"/>
      <c r="C53" s="477"/>
      <c r="K53" s="193"/>
      <c r="N53" s="187"/>
      <c r="R53" s="321"/>
      <c r="AB53" s="369"/>
      <c r="AP53" s="45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G53" s="483"/>
      <c r="BH53" s="339"/>
      <c r="BI53" s="355"/>
      <c r="BJ53" s="355"/>
      <c r="BK53" s="355"/>
      <c r="BL53" s="355"/>
      <c r="BM53" s="339"/>
      <c r="BN53" s="339"/>
      <c r="BV53" s="483"/>
      <c r="BW53" s="339"/>
      <c r="BX53" s="355"/>
      <c r="BY53" s="355"/>
      <c r="BZ53" s="355"/>
      <c r="CL53" s="357"/>
      <c r="DD53" s="369"/>
    </row>
    <row r="54" spans="1:108">
      <c r="C54" s="484"/>
      <c r="K54" s="193"/>
      <c r="N54" s="187"/>
      <c r="R54" s="321"/>
      <c r="AP54" s="485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H54" s="336"/>
      <c r="BW54" s="336"/>
    </row>
    <row r="55" spans="1:108">
      <c r="C55" s="484"/>
      <c r="N55" s="187"/>
      <c r="R55" s="321"/>
      <c r="AP55" s="485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H55" s="336"/>
      <c r="BW55" s="336"/>
    </row>
    <row r="56" spans="1:108">
      <c r="C56" s="486"/>
      <c r="N56" s="187"/>
      <c r="Q56" s="321"/>
      <c r="AO56" s="477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G56" s="336"/>
      <c r="BV56" s="336"/>
    </row>
    <row r="57" spans="1:108">
      <c r="C57" s="487"/>
      <c r="N57" s="187"/>
      <c r="Q57" s="32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G57" s="336"/>
      <c r="BV57" s="336"/>
    </row>
    <row r="58" spans="1:108">
      <c r="C58" s="487"/>
      <c r="N58" s="187"/>
      <c r="Q58" s="321"/>
      <c r="AZ58" s="187"/>
      <c r="BG58" s="336"/>
      <c r="BV58" s="336"/>
    </row>
    <row r="59" spans="1:108">
      <c r="C59" s="488"/>
      <c r="N59" s="187"/>
      <c r="Q59" s="321"/>
      <c r="AZ59" s="187"/>
      <c r="BG59" s="336"/>
      <c r="BV59" s="336"/>
    </row>
    <row r="60" spans="1:108">
      <c r="N60" s="187"/>
      <c r="Q60" s="321"/>
      <c r="AZ60" s="187"/>
      <c r="BG60" s="336"/>
      <c r="BV60" s="336"/>
    </row>
    <row r="61" spans="1:108">
      <c r="N61" s="187"/>
      <c r="Q61" s="321"/>
      <c r="AZ61" s="187"/>
      <c r="BG61" s="336"/>
      <c r="BV61" s="336"/>
    </row>
    <row r="62" spans="1:108">
      <c r="N62" s="187"/>
      <c r="Q62" s="321"/>
      <c r="AZ62" s="187"/>
      <c r="BG62" s="336"/>
      <c r="BV62" s="336"/>
    </row>
    <row r="63" spans="1:108">
      <c r="D63" s="339"/>
      <c r="E63" s="339"/>
      <c r="F63" s="489"/>
      <c r="G63" s="489"/>
      <c r="N63" s="187"/>
      <c r="Q63" s="321"/>
      <c r="AZ63" s="187"/>
      <c r="BG63" s="336"/>
      <c r="BV63" s="336"/>
    </row>
    <row r="64" spans="1:108">
      <c r="D64" s="339"/>
      <c r="E64" s="339"/>
      <c r="F64" s="489"/>
      <c r="G64" s="489"/>
      <c r="N64" s="187"/>
      <c r="Q64" s="321"/>
      <c r="AZ64" s="187"/>
      <c r="BG64" s="336"/>
      <c r="BV64" s="336"/>
    </row>
    <row r="65" spans="1:74">
      <c r="C65" s="357"/>
      <c r="D65" s="339"/>
      <c r="E65" s="339"/>
      <c r="F65" s="339"/>
      <c r="G65" s="339"/>
      <c r="N65" s="187"/>
      <c r="Q65" s="321"/>
      <c r="AZ65" s="187"/>
      <c r="BG65" s="336"/>
      <c r="BV65" s="336"/>
    </row>
    <row r="66" spans="1:74">
      <c r="A66" s="44"/>
      <c r="B66" s="185"/>
      <c r="D66" s="339"/>
      <c r="E66" s="339"/>
      <c r="F66" s="339"/>
      <c r="G66" s="339"/>
      <c r="N66" s="187"/>
      <c r="Q66" s="321"/>
      <c r="AZ66" s="187"/>
      <c r="BG66" s="336"/>
      <c r="BV66" s="336"/>
    </row>
    <row r="67" spans="1:74">
      <c r="A67" s="44"/>
      <c r="B67" s="185"/>
      <c r="D67" s="339"/>
      <c r="E67" s="339"/>
      <c r="F67" s="339"/>
      <c r="G67" s="339"/>
      <c r="N67" s="187"/>
      <c r="Q67" s="321"/>
      <c r="AZ67" s="187"/>
      <c r="BG67" s="336"/>
      <c r="BV67" s="336"/>
    </row>
    <row r="68" spans="1:74">
      <c r="N68" s="187"/>
      <c r="Q68" s="321"/>
      <c r="AZ68" s="187"/>
      <c r="BG68" s="336"/>
      <c r="BV68" s="336"/>
    </row>
    <row r="69" spans="1:74">
      <c r="N69" s="187"/>
      <c r="Q69" s="321"/>
      <c r="AZ69" s="187"/>
      <c r="BG69" s="336"/>
      <c r="BV69" s="336"/>
    </row>
    <row r="70" spans="1:74">
      <c r="N70" s="187"/>
      <c r="Q70" s="321"/>
      <c r="AZ70" s="187"/>
      <c r="BG70" s="336"/>
      <c r="BV70" s="336"/>
    </row>
    <row r="71" spans="1:74">
      <c r="N71" s="187"/>
      <c r="Q71" s="321"/>
      <c r="AZ71" s="187"/>
      <c r="BG71" s="336"/>
      <c r="BV71" s="336"/>
    </row>
    <row r="72" spans="1:74">
      <c r="N72" s="187"/>
      <c r="Q72" s="321"/>
      <c r="AZ72" s="187"/>
      <c r="BG72" s="336"/>
      <c r="BV72" s="336"/>
    </row>
    <row r="73" spans="1:74">
      <c r="N73" s="187"/>
      <c r="Q73" s="321"/>
      <c r="AZ73" s="187"/>
      <c r="BG73" s="336"/>
      <c r="BV73" s="336"/>
    </row>
    <row r="74" spans="1:74">
      <c r="N74" s="187"/>
      <c r="Q74" s="321"/>
      <c r="AZ74" s="187"/>
      <c r="BG74" s="336"/>
      <c r="BV74" s="336"/>
    </row>
    <row r="75" spans="1:74">
      <c r="N75" s="187"/>
      <c r="Q75" s="321"/>
      <c r="AZ75" s="187"/>
      <c r="BG75" s="336"/>
      <c r="BV75" s="336"/>
    </row>
    <row r="76" spans="1:74">
      <c r="N76" s="187"/>
      <c r="Q76" s="321"/>
      <c r="AZ76" s="187"/>
      <c r="BG76" s="336"/>
      <c r="BV76" s="336"/>
    </row>
    <row r="77" spans="1:74">
      <c r="N77" s="187"/>
      <c r="Q77" s="321"/>
      <c r="AZ77" s="187"/>
      <c r="BG77" s="336"/>
      <c r="BV77" s="336"/>
    </row>
    <row r="78" spans="1:74">
      <c r="N78" s="187"/>
      <c r="Q78" s="321"/>
      <c r="AZ78" s="187"/>
      <c r="BG78" s="336"/>
      <c r="BV78" s="336"/>
    </row>
    <row r="79" spans="1:74">
      <c r="N79" s="187"/>
      <c r="Q79" s="321"/>
      <c r="AZ79" s="187"/>
      <c r="BG79" s="336"/>
      <c r="BV79" s="336"/>
    </row>
    <row r="80" spans="1:74">
      <c r="N80" s="187"/>
      <c r="Q80" s="321"/>
      <c r="AZ80" s="187"/>
      <c r="BG80" s="336"/>
      <c r="BV80" s="336"/>
    </row>
    <row r="81" spans="6:74">
      <c r="F81" s="444"/>
      <c r="G81" s="444"/>
      <c r="N81" s="187"/>
      <c r="Q81" s="321"/>
      <c r="AZ81" s="187"/>
      <c r="BG81" s="336"/>
      <c r="BV81" s="336"/>
    </row>
    <row r="82" spans="6:74">
      <c r="N82" s="187"/>
      <c r="Q82" s="321"/>
      <c r="AZ82" s="187"/>
      <c r="BG82" s="336"/>
      <c r="BV82" s="336"/>
    </row>
    <row r="83" spans="6:74">
      <c r="N83" s="187"/>
      <c r="Q83" s="321"/>
      <c r="AZ83" s="187"/>
      <c r="BG83" s="336"/>
      <c r="BV83" s="336"/>
    </row>
    <row r="84" spans="6:74">
      <c r="N84" s="187"/>
      <c r="Q84" s="321"/>
      <c r="AZ84" s="187"/>
      <c r="BG84" s="336"/>
      <c r="BV84" s="336"/>
    </row>
    <row r="85" spans="6:74">
      <c r="N85" s="187"/>
      <c r="Q85" s="321"/>
      <c r="AZ85" s="187"/>
      <c r="BG85" s="336"/>
      <c r="BV85" s="336"/>
    </row>
    <row r="86" spans="6:74">
      <c r="N86" s="187"/>
      <c r="Q86" s="321"/>
      <c r="AZ86" s="187"/>
      <c r="BG86" s="336"/>
      <c r="BV86" s="336"/>
    </row>
    <row r="87" spans="6:74">
      <c r="N87" s="187"/>
      <c r="Q87" s="321"/>
      <c r="AZ87" s="187"/>
      <c r="BG87" s="336"/>
      <c r="BV87" s="336"/>
    </row>
    <row r="88" spans="6:74">
      <c r="N88" s="187"/>
      <c r="Q88" s="321"/>
      <c r="AZ88" s="187"/>
      <c r="BG88" s="336"/>
      <c r="BV88" s="336"/>
    </row>
    <row r="89" spans="6:74">
      <c r="N89" s="187"/>
      <c r="Q89" s="321"/>
      <c r="AZ89" s="187"/>
      <c r="BG89" s="336"/>
      <c r="BV89" s="336"/>
    </row>
    <row r="90" spans="6:74">
      <c r="N90" s="187"/>
      <c r="Q90" s="321"/>
      <c r="AZ90" s="187"/>
      <c r="BG90" s="336"/>
      <c r="BV90" s="336"/>
    </row>
    <row r="91" spans="6:74">
      <c r="N91" s="187"/>
      <c r="Q91" s="321"/>
      <c r="AZ91" s="187"/>
      <c r="BG91" s="336"/>
      <c r="BV91" s="336"/>
    </row>
    <row r="92" spans="6:74">
      <c r="N92" s="187"/>
      <c r="Q92" s="321"/>
      <c r="AZ92" s="187"/>
      <c r="BG92" s="336"/>
      <c r="BV92" s="336"/>
    </row>
    <row r="93" spans="6:74">
      <c r="N93" s="187"/>
      <c r="Q93" s="321"/>
      <c r="AZ93" s="187"/>
      <c r="BG93" s="336"/>
      <c r="BV93" s="336"/>
    </row>
    <row r="94" spans="6:74">
      <c r="N94" s="187"/>
      <c r="Q94" s="321"/>
      <c r="AZ94" s="187"/>
      <c r="BG94" s="336"/>
      <c r="BV94" s="336"/>
    </row>
    <row r="95" spans="6:74">
      <c r="N95" s="187"/>
      <c r="Q95" s="321"/>
      <c r="AZ95" s="187"/>
      <c r="BG95" s="336"/>
      <c r="BV95" s="336"/>
    </row>
    <row r="96" spans="6:74">
      <c r="N96" s="187"/>
      <c r="Q96" s="321"/>
      <c r="AZ96" s="187"/>
      <c r="BG96" s="336"/>
      <c r="BV96" s="336"/>
    </row>
    <row r="97" spans="1:74">
      <c r="N97" s="187"/>
      <c r="Q97" s="321"/>
      <c r="AZ97" s="187"/>
      <c r="BG97" s="336"/>
      <c r="BV97" s="336"/>
    </row>
    <row r="98" spans="1:74">
      <c r="N98" s="187"/>
      <c r="Q98" s="321"/>
      <c r="AZ98" s="187"/>
      <c r="BG98" s="336"/>
      <c r="BV98" s="336"/>
    </row>
    <row r="99" spans="1:74">
      <c r="N99" s="187"/>
      <c r="Q99" s="321"/>
      <c r="AZ99" s="187"/>
      <c r="BG99" s="336"/>
      <c r="BV99" s="336"/>
    </row>
    <row r="100" spans="1:74">
      <c r="N100" s="187"/>
      <c r="Q100" s="321"/>
      <c r="AZ100" s="187"/>
      <c r="BG100" s="336"/>
      <c r="BV100" s="336"/>
    </row>
    <row r="101" spans="1:74">
      <c r="N101" s="187"/>
      <c r="Q101" s="321"/>
      <c r="AZ101" s="187"/>
      <c r="BG101" s="336"/>
      <c r="BV101" s="336"/>
    </row>
    <row r="102" spans="1:74">
      <c r="N102" s="187"/>
      <c r="Q102" s="321"/>
      <c r="AZ102" s="187"/>
      <c r="BG102" s="336"/>
      <c r="BV102" s="336"/>
    </row>
    <row r="103" spans="1:74">
      <c r="N103" s="187"/>
      <c r="Q103" s="321"/>
      <c r="AZ103" s="187"/>
      <c r="BG103" s="336"/>
      <c r="BV103" s="336"/>
    </row>
    <row r="104" spans="1:74">
      <c r="N104" s="187"/>
      <c r="Q104" s="321"/>
      <c r="AZ104" s="187"/>
      <c r="BG104" s="336"/>
      <c r="BV104" s="336"/>
    </row>
    <row r="105" spans="1:74">
      <c r="E105" s="490"/>
      <c r="N105" s="187"/>
      <c r="Q105" s="321"/>
      <c r="AZ105" s="187"/>
      <c r="BG105" s="336"/>
      <c r="BV105" s="336"/>
    </row>
    <row r="106" spans="1:74">
      <c r="N106" s="187"/>
      <c r="Q106" s="321"/>
      <c r="AZ106" s="187"/>
      <c r="BG106" s="336"/>
      <c r="BV106" s="336"/>
    </row>
    <row r="107" spans="1:74">
      <c r="N107" s="187"/>
      <c r="Q107" s="321"/>
      <c r="AZ107" s="187"/>
      <c r="BG107" s="336"/>
      <c r="BV107" s="336"/>
    </row>
    <row r="108" spans="1:74">
      <c r="N108" s="187"/>
      <c r="Q108" s="321"/>
      <c r="AZ108" s="187"/>
      <c r="BG108" s="336"/>
      <c r="BV108" s="336"/>
    </row>
    <row r="109" spans="1:74">
      <c r="N109" s="187"/>
      <c r="Q109" s="321"/>
      <c r="AZ109" s="187"/>
      <c r="BG109" s="336"/>
      <c r="BV109" s="336"/>
    </row>
    <row r="110" spans="1:74">
      <c r="N110" s="187"/>
      <c r="Q110" s="321"/>
      <c r="AZ110" s="187"/>
      <c r="BG110" s="336"/>
      <c r="BV110" s="336"/>
    </row>
    <row r="111" spans="1:74">
      <c r="A111" s="44"/>
      <c r="B111" s="185"/>
      <c r="N111" s="187"/>
      <c r="Q111" s="321"/>
      <c r="AZ111" s="187"/>
      <c r="BG111" s="336"/>
      <c r="BV111" s="336"/>
    </row>
    <row r="112" spans="1:74">
      <c r="N112" s="187"/>
      <c r="Q112" s="321"/>
      <c r="AZ112" s="187"/>
      <c r="BG112" s="336"/>
      <c r="BV112" s="336"/>
    </row>
    <row r="113" spans="1:74">
      <c r="N113" s="187"/>
      <c r="Q113" s="321"/>
      <c r="AZ113" s="187"/>
      <c r="BG113" s="336"/>
      <c r="BV113" s="336"/>
    </row>
    <row r="114" spans="1:74">
      <c r="N114" s="187"/>
      <c r="Q114" s="321"/>
      <c r="AZ114" s="187"/>
      <c r="BG114" s="336"/>
      <c r="BV114" s="336"/>
    </row>
    <row r="115" spans="1:74">
      <c r="N115" s="187"/>
      <c r="Q115" s="321"/>
      <c r="AZ115" s="187"/>
      <c r="BG115" s="336"/>
      <c r="BV115" s="336"/>
    </row>
    <row r="116" spans="1:74">
      <c r="N116" s="187"/>
      <c r="Q116" s="321"/>
      <c r="AZ116" s="187"/>
      <c r="BG116" s="336"/>
      <c r="BV116" s="336"/>
    </row>
    <row r="117" spans="1:74">
      <c r="N117" s="187"/>
      <c r="Q117" s="321"/>
      <c r="AZ117" s="187"/>
      <c r="BG117" s="336"/>
      <c r="BV117" s="336"/>
    </row>
    <row r="118" spans="1:74">
      <c r="N118" s="187"/>
      <c r="Q118" s="321"/>
      <c r="AZ118" s="187"/>
      <c r="BG118" s="336"/>
      <c r="BV118" s="336"/>
    </row>
    <row r="119" spans="1:74">
      <c r="N119" s="187"/>
      <c r="Q119" s="321"/>
      <c r="AZ119" s="187"/>
      <c r="BG119" s="336"/>
      <c r="BV119" s="336"/>
    </row>
    <row r="120" spans="1:74">
      <c r="N120" s="187"/>
      <c r="Q120" s="321"/>
      <c r="AZ120" s="187"/>
      <c r="BG120" s="336"/>
      <c r="BV120" s="336"/>
    </row>
    <row r="121" spans="1:74">
      <c r="N121" s="187"/>
      <c r="Q121" s="321"/>
      <c r="AZ121" s="187"/>
      <c r="BG121" s="336"/>
      <c r="BV121" s="336"/>
    </row>
    <row r="122" spans="1:74">
      <c r="N122" s="187"/>
      <c r="Q122" s="321"/>
      <c r="AZ122" s="187"/>
      <c r="BG122" s="336"/>
      <c r="BV122" s="336"/>
    </row>
    <row r="123" spans="1:74">
      <c r="N123" s="187"/>
      <c r="Q123" s="321"/>
      <c r="AZ123" s="187"/>
      <c r="BG123" s="336"/>
      <c r="BV123" s="336"/>
    </row>
    <row r="124" spans="1:74">
      <c r="N124" s="187"/>
      <c r="Q124" s="321"/>
      <c r="AZ124" s="187"/>
      <c r="BG124" s="336"/>
      <c r="BV124" s="336"/>
    </row>
    <row r="125" spans="1:74">
      <c r="N125" s="187"/>
      <c r="Q125" s="321"/>
      <c r="AZ125" s="187"/>
      <c r="BG125" s="336"/>
      <c r="BV125" s="336"/>
    </row>
    <row r="126" spans="1:74">
      <c r="N126" s="187"/>
      <c r="Q126" s="321"/>
      <c r="AZ126" s="187"/>
      <c r="BG126" s="336"/>
      <c r="BV126" s="336"/>
    </row>
    <row r="127" spans="1:74">
      <c r="N127" s="187"/>
      <c r="Q127" s="321"/>
      <c r="AZ127" s="187"/>
      <c r="BG127" s="336"/>
      <c r="BV127" s="336"/>
    </row>
    <row r="128" spans="1:74">
      <c r="A128" s="185"/>
      <c r="N128" s="187"/>
      <c r="Q128" s="321"/>
      <c r="AZ128" s="187"/>
      <c r="BG128" s="336"/>
      <c r="BV128" s="336"/>
    </row>
    <row r="129" spans="1:74">
      <c r="A129" s="185"/>
      <c r="N129" s="187"/>
      <c r="Q129" s="321"/>
      <c r="AZ129" s="187"/>
      <c r="BG129" s="336"/>
      <c r="BV129" s="336"/>
    </row>
    <row r="130" spans="1:74">
      <c r="A130" s="185"/>
      <c r="B130" s="185"/>
      <c r="N130" s="187"/>
      <c r="Q130" s="321"/>
      <c r="AZ130" s="187"/>
      <c r="BG130" s="336"/>
      <c r="BV130" s="336"/>
    </row>
    <row r="131" spans="1:74">
      <c r="N131" s="187"/>
      <c r="Q131" s="321"/>
      <c r="AZ131" s="187"/>
      <c r="BG131" s="336"/>
      <c r="BV131" s="336"/>
    </row>
    <row r="132" spans="1:74">
      <c r="A132" s="185"/>
      <c r="B132" s="185"/>
      <c r="N132" s="187"/>
      <c r="Q132" s="321"/>
      <c r="AZ132" s="187"/>
      <c r="BG132" s="336"/>
      <c r="BV132" s="336"/>
    </row>
    <row r="133" spans="1:74">
      <c r="N133" s="187"/>
      <c r="Q133" s="321"/>
      <c r="AZ133" s="187"/>
      <c r="BG133" s="336"/>
      <c r="BV133" s="336"/>
    </row>
    <row r="134" spans="1:74">
      <c r="A134" s="185"/>
      <c r="B134" s="185"/>
      <c r="N134" s="187"/>
      <c r="Q134" s="321"/>
      <c r="AZ134" s="187"/>
      <c r="BG134" s="336"/>
      <c r="BV134" s="336"/>
    </row>
    <row r="135" spans="1:74">
      <c r="N135" s="187"/>
      <c r="Q135" s="321"/>
      <c r="AZ135" s="187"/>
      <c r="BG135" s="336"/>
      <c r="BV135" s="336"/>
    </row>
    <row r="136" spans="1:74">
      <c r="A136" s="185"/>
      <c r="B136" s="185"/>
      <c r="N136" s="187"/>
      <c r="Q136" s="321"/>
      <c r="AZ136" s="187"/>
      <c r="BG136" s="336"/>
      <c r="BV136" s="336"/>
    </row>
    <row r="137" spans="1:74">
      <c r="N137" s="187"/>
      <c r="Q137" s="321"/>
      <c r="AZ137" s="187"/>
      <c r="BG137" s="336"/>
      <c r="BV137" s="336"/>
    </row>
    <row r="138" spans="1:74">
      <c r="A138" s="185"/>
      <c r="B138" s="185"/>
      <c r="N138" s="187"/>
      <c r="Q138" s="321"/>
      <c r="AZ138" s="187"/>
      <c r="BG138" s="336"/>
      <c r="BV138" s="336"/>
    </row>
    <row r="139" spans="1:74">
      <c r="N139" s="187"/>
      <c r="Q139" s="321"/>
      <c r="AZ139" s="187"/>
      <c r="BG139" s="336"/>
      <c r="BV139" s="336"/>
    </row>
    <row r="140" spans="1:74">
      <c r="A140" s="185"/>
      <c r="B140" s="185"/>
      <c r="N140" s="187"/>
      <c r="Q140" s="321"/>
      <c r="AZ140" s="187"/>
      <c r="BG140" s="336"/>
      <c r="BV140" s="336"/>
    </row>
    <row r="141" spans="1:74">
      <c r="N141" s="187"/>
      <c r="Q141" s="321"/>
      <c r="AZ141" s="187"/>
      <c r="BG141" s="336"/>
      <c r="BV141" s="336"/>
    </row>
    <row r="142" spans="1:74">
      <c r="A142" s="185"/>
      <c r="B142" s="185"/>
      <c r="N142" s="187"/>
      <c r="Q142" s="321"/>
      <c r="AZ142" s="187"/>
      <c r="BG142" s="336"/>
      <c r="BV142" s="336"/>
    </row>
    <row r="143" spans="1:74">
      <c r="N143" s="187"/>
      <c r="Q143" s="321"/>
      <c r="AZ143" s="187"/>
      <c r="BG143" s="336"/>
      <c r="BV143" s="336"/>
    </row>
    <row r="144" spans="1:74">
      <c r="A144" s="185"/>
      <c r="B144" s="185"/>
      <c r="N144" s="187"/>
      <c r="Q144" s="321"/>
      <c r="AZ144" s="187"/>
      <c r="BG144" s="336"/>
      <c r="BV144" s="336"/>
    </row>
    <row r="145" spans="1:74">
      <c r="N145" s="187"/>
      <c r="Q145" s="321"/>
      <c r="AZ145" s="187"/>
      <c r="BG145" s="336"/>
      <c r="BV145" s="336"/>
    </row>
    <row r="146" spans="1:74">
      <c r="N146" s="187"/>
      <c r="Q146" s="321"/>
      <c r="AZ146" s="187"/>
      <c r="BG146" s="336"/>
      <c r="BV146" s="336"/>
    </row>
    <row r="147" spans="1:74">
      <c r="N147" s="187"/>
      <c r="Q147" s="321"/>
      <c r="AZ147" s="187"/>
      <c r="BG147" s="336"/>
      <c r="BV147" s="336"/>
    </row>
    <row r="148" spans="1:74">
      <c r="A148" s="185"/>
      <c r="N148" s="187"/>
      <c r="Q148" s="321"/>
      <c r="AZ148" s="187"/>
      <c r="BG148" s="336"/>
      <c r="BV148" s="336"/>
    </row>
    <row r="149" spans="1:74">
      <c r="A149" s="185"/>
      <c r="N149" s="187"/>
      <c r="Q149" s="321"/>
      <c r="AZ149" s="187"/>
      <c r="BG149" s="336"/>
      <c r="BV149" s="336"/>
    </row>
    <row r="150" spans="1:74">
      <c r="A150" s="185"/>
      <c r="B150" s="185"/>
      <c r="N150" s="187"/>
      <c r="Q150" s="321"/>
      <c r="AZ150" s="187"/>
      <c r="BG150" s="336"/>
      <c r="BV150" s="336"/>
    </row>
    <row r="151" spans="1:74">
      <c r="B151" s="185"/>
      <c r="N151" s="187"/>
      <c r="Q151" s="321"/>
      <c r="AZ151" s="187"/>
      <c r="BG151" s="336"/>
      <c r="BV151" s="336"/>
    </row>
    <row r="152" spans="1:74">
      <c r="B152" s="185"/>
      <c r="N152" s="187"/>
      <c r="Q152" s="321"/>
      <c r="AZ152" s="187"/>
      <c r="BG152" s="336"/>
      <c r="BV152" s="336"/>
    </row>
    <row r="153" spans="1:74">
      <c r="B153" s="185"/>
      <c r="N153" s="187"/>
      <c r="Q153" s="321"/>
      <c r="AZ153" s="187"/>
      <c r="BG153" s="336"/>
      <c r="BV153" s="336"/>
    </row>
    <row r="154" spans="1:74">
      <c r="B154" s="185"/>
      <c r="N154" s="187"/>
      <c r="Q154" s="321"/>
      <c r="AZ154" s="187"/>
      <c r="BG154" s="336"/>
      <c r="BV154" s="336"/>
    </row>
    <row r="155" spans="1:74">
      <c r="B155" s="185"/>
      <c r="N155" s="187"/>
      <c r="Q155" s="321"/>
      <c r="AZ155" s="187"/>
      <c r="BG155" s="336"/>
      <c r="BV155" s="336"/>
    </row>
    <row r="156" spans="1:74">
      <c r="B156" s="185"/>
      <c r="N156" s="187"/>
      <c r="Q156" s="321"/>
      <c r="AZ156" s="187"/>
      <c r="BG156" s="336"/>
      <c r="BV156" s="336"/>
    </row>
    <row r="157" spans="1:74">
      <c r="B157" s="185"/>
      <c r="N157" s="187"/>
      <c r="Q157" s="321"/>
      <c r="AZ157" s="187"/>
      <c r="BG157" s="336"/>
      <c r="BV157" s="336"/>
    </row>
    <row r="158" spans="1:74">
      <c r="N158" s="187"/>
      <c r="Q158" s="321"/>
      <c r="AZ158" s="187"/>
      <c r="BG158" s="336"/>
      <c r="BV158" s="336"/>
    </row>
    <row r="159" spans="1:74">
      <c r="N159" s="187"/>
      <c r="Q159" s="321"/>
      <c r="AZ159" s="187"/>
      <c r="BG159" s="336"/>
      <c r="BV159" s="336"/>
    </row>
    <row r="160" spans="1:74">
      <c r="N160" s="187"/>
      <c r="Q160" s="321"/>
      <c r="AZ160" s="187"/>
      <c r="BG160" s="336"/>
      <c r="BV160" s="336"/>
    </row>
    <row r="161" spans="1:74">
      <c r="A161" s="185"/>
      <c r="B161" s="185"/>
      <c r="N161" s="187"/>
      <c r="Q161" s="321"/>
      <c r="AZ161" s="187"/>
      <c r="BG161" s="336"/>
      <c r="BV161" s="336"/>
    </row>
    <row r="162" spans="1:74">
      <c r="B162" s="185"/>
      <c r="N162" s="187"/>
      <c r="Q162" s="321"/>
      <c r="AZ162" s="187"/>
      <c r="BG162" s="336"/>
      <c r="BV162" s="336"/>
    </row>
    <row r="163" spans="1:74">
      <c r="N163" s="187"/>
      <c r="Q163" s="321"/>
      <c r="AZ163" s="187"/>
      <c r="BG163" s="336"/>
      <c r="BV163" s="336"/>
    </row>
    <row r="164" spans="1:74">
      <c r="N164" s="187"/>
      <c r="Q164" s="321"/>
      <c r="AZ164" s="187"/>
      <c r="BG164" s="336"/>
      <c r="BV164" s="336"/>
    </row>
    <row r="165" spans="1:74">
      <c r="N165" s="187"/>
      <c r="Q165" s="321"/>
      <c r="AZ165" s="187"/>
      <c r="BG165" s="336"/>
      <c r="BV165" s="336"/>
    </row>
    <row r="166" spans="1:74">
      <c r="N166" s="187"/>
      <c r="Q166" s="321"/>
      <c r="AZ166" s="187"/>
      <c r="BG166" s="336"/>
      <c r="BV166" s="336"/>
    </row>
    <row r="167" spans="1:74">
      <c r="N167" s="187"/>
      <c r="Q167" s="321"/>
      <c r="AZ167" s="187"/>
      <c r="BG167" s="336"/>
      <c r="BV167" s="336"/>
    </row>
    <row r="168" spans="1:74">
      <c r="A168" s="185"/>
      <c r="N168" s="187"/>
      <c r="Q168" s="321"/>
      <c r="AZ168" s="187"/>
      <c r="BG168" s="336"/>
      <c r="BV168" s="336"/>
    </row>
    <row r="169" spans="1:74">
      <c r="A169" s="185"/>
      <c r="N169" s="187"/>
      <c r="Q169" s="321"/>
      <c r="AZ169" s="187"/>
      <c r="BG169" s="336"/>
      <c r="BV169" s="336"/>
    </row>
    <row r="170" spans="1:74">
      <c r="A170" s="185"/>
      <c r="B170" s="185"/>
      <c r="N170" s="187"/>
      <c r="Q170" s="321"/>
      <c r="AZ170" s="187"/>
      <c r="BG170" s="336"/>
      <c r="BV170" s="336"/>
    </row>
    <row r="171" spans="1:74">
      <c r="B171" s="185"/>
      <c r="N171" s="187"/>
      <c r="Q171" s="321"/>
      <c r="AZ171" s="187"/>
      <c r="BG171" s="336"/>
      <c r="BV171" s="336"/>
    </row>
    <row r="172" spans="1:74">
      <c r="A172" s="185"/>
      <c r="B172" s="185"/>
      <c r="N172" s="187"/>
      <c r="Q172" s="321"/>
      <c r="AZ172" s="187"/>
      <c r="BG172" s="336"/>
      <c r="BV172" s="336"/>
    </row>
    <row r="173" spans="1:74">
      <c r="AZ173" s="187"/>
      <c r="BC173" s="336"/>
    </row>
    <row r="174" spans="1:74">
      <c r="AZ174" s="187"/>
      <c r="BC174" s="336"/>
    </row>
    <row r="175" spans="1:74">
      <c r="AZ175" s="187"/>
      <c r="BC175" s="336"/>
    </row>
    <row r="176" spans="1:74">
      <c r="AZ176" s="187"/>
      <c r="BC176" s="336"/>
    </row>
    <row r="177" spans="55:55" s="187" customFormat="1">
      <c r="BC177" s="336"/>
    </row>
    <row r="178" spans="55:55" s="187" customFormat="1">
      <c r="BC178" s="336"/>
    </row>
    <row r="179" spans="55:55" s="187" customFormat="1">
      <c r="BC179" s="336"/>
    </row>
    <row r="180" spans="55:55" s="187" customFormat="1">
      <c r="BC180" s="336"/>
    </row>
    <row r="181" spans="55:55" s="187" customFormat="1">
      <c r="BC181" s="336"/>
    </row>
    <row r="182" spans="55:55" s="187" customFormat="1">
      <c r="BC182" s="336"/>
    </row>
    <row r="183" spans="55:55" s="187" customFormat="1">
      <c r="BC183" s="336"/>
    </row>
    <row r="184" spans="55:55" s="187" customFormat="1">
      <c r="BC184" s="336"/>
    </row>
    <row r="185" spans="55:55" s="187" customFormat="1">
      <c r="BC185" s="336"/>
    </row>
    <row r="186" spans="55:55" s="187" customFormat="1">
      <c r="BC186" s="336"/>
    </row>
    <row r="187" spans="55:55" s="187" customFormat="1">
      <c r="BC187" s="336"/>
    </row>
    <row r="188" spans="55:55" s="187" customFormat="1">
      <c r="BC188" s="336"/>
    </row>
    <row r="189" spans="55:55" s="187" customFormat="1">
      <c r="BC189" s="336"/>
    </row>
    <row r="190" spans="55:55" s="187" customFormat="1">
      <c r="BC190" s="336"/>
    </row>
    <row r="191" spans="55:55" s="187" customFormat="1">
      <c r="BC191" s="336"/>
    </row>
    <row r="192" spans="55:55" s="187" customFormat="1">
      <c r="BC192" s="336"/>
    </row>
    <row r="193" spans="55:55" s="187" customFormat="1">
      <c r="BC193" s="336"/>
    </row>
    <row r="194" spans="55:55" s="187" customFormat="1">
      <c r="BC194" s="336"/>
    </row>
    <row r="195" spans="55:55" s="187" customFormat="1">
      <c r="BC195" s="336"/>
    </row>
    <row r="196" spans="55:55" s="187" customFormat="1">
      <c r="BC196" s="336"/>
    </row>
    <row r="197" spans="55:55" s="187" customFormat="1">
      <c r="BC197" s="336"/>
    </row>
    <row r="198" spans="55:55" s="187" customFormat="1">
      <c r="BC198" s="336"/>
    </row>
    <row r="199" spans="55:55" s="187" customFormat="1">
      <c r="BC199" s="336"/>
    </row>
    <row r="200" spans="55:55" s="187" customFormat="1">
      <c r="BC200" s="336"/>
    </row>
    <row r="201" spans="55:55" s="187" customFormat="1">
      <c r="BC201" s="336"/>
    </row>
    <row r="202" spans="55:55" s="187" customFormat="1">
      <c r="BC202" s="336"/>
    </row>
    <row r="203" spans="55:55" s="187" customFormat="1">
      <c r="BC203" s="336"/>
    </row>
    <row r="204" spans="55:55" s="187" customFormat="1">
      <c r="BC204" s="336"/>
    </row>
    <row r="205" spans="55:55" s="187" customFormat="1">
      <c r="BC205" s="336"/>
    </row>
    <row r="206" spans="55:55" s="187" customFormat="1">
      <c r="BC206" s="336"/>
    </row>
    <row r="207" spans="55:55" s="187" customFormat="1">
      <c r="BC207" s="336"/>
    </row>
    <row r="208" spans="55:55" s="187" customFormat="1">
      <c r="BC208" s="336"/>
    </row>
    <row r="209" spans="55:55" s="187" customFormat="1">
      <c r="BC209" s="336"/>
    </row>
    <row r="210" spans="55:55" s="187" customFormat="1">
      <c r="BC210" s="336"/>
    </row>
    <row r="211" spans="55:55" s="187" customFormat="1">
      <c r="BC211" s="336"/>
    </row>
    <row r="212" spans="55:55" s="187" customFormat="1">
      <c r="BC212" s="336"/>
    </row>
    <row r="213" spans="55:55" s="187" customFormat="1">
      <c r="BC213" s="336"/>
    </row>
    <row r="214" spans="55:55" s="187" customFormat="1">
      <c r="BC214" s="336"/>
    </row>
  </sheetData>
  <printOptions horizontalCentered="1"/>
  <pageMargins left="0.31" right="0.34" top="0.75" bottom="0.21" header="0.3" footer="0.3"/>
  <pageSetup scale="83" orientation="landscape" r:id="rId1"/>
  <headerFooter>
    <oddFooter>&amp;C&amp;P</oddFooter>
  </headerFooter>
  <colBreaks count="5" manualBreakCount="5">
    <brk id="9" max="51" man="1"/>
    <brk id="29" max="51" man="1"/>
    <brk id="41" max="51" man="1"/>
    <brk id="58" max="51" man="1"/>
    <brk id="73" max="51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/>
  </sheetViews>
  <sheetFormatPr defaultColWidth="13.109375" defaultRowHeight="12.75" customHeight="1"/>
  <cols>
    <col min="1" max="1" width="25" style="506" customWidth="1"/>
    <col min="2" max="2" width="14" style="506" customWidth="1"/>
    <col min="3" max="3" width="14.44140625" style="506" customWidth="1"/>
    <col min="4" max="4" width="2.6640625" style="506" customWidth="1"/>
    <col min="5" max="5" width="12.5546875" style="506" customWidth="1"/>
    <col min="6" max="6" width="2.6640625" style="506" customWidth="1"/>
    <col min="7" max="16384" width="13.109375" style="506"/>
  </cols>
  <sheetData>
    <row r="1" spans="1:8" ht="12.75" customHeight="1">
      <c r="A1" s="505" t="s">
        <v>94</v>
      </c>
      <c r="B1" s="505"/>
      <c r="C1" s="505"/>
      <c r="D1" s="505"/>
      <c r="E1" s="505"/>
    </row>
    <row r="2" spans="1:8" ht="12.75" customHeight="1">
      <c r="A2" s="505" t="s">
        <v>283</v>
      </c>
      <c r="B2" s="505"/>
      <c r="C2" s="505"/>
      <c r="D2" s="505"/>
      <c r="E2" s="505"/>
    </row>
    <row r="3" spans="1:8" ht="12.75" customHeight="1">
      <c r="A3" s="505" t="s">
        <v>345</v>
      </c>
      <c r="B3" s="505"/>
      <c r="C3" s="505"/>
      <c r="D3" s="505"/>
      <c r="E3" s="505"/>
    </row>
    <row r="5" spans="1:8" ht="12.75" customHeight="1">
      <c r="C5" s="556" t="s">
        <v>315</v>
      </c>
      <c r="D5" s="556"/>
      <c r="E5" s="556"/>
    </row>
    <row r="6" spans="1:8" ht="12.75" customHeight="1">
      <c r="C6" s="507" t="s">
        <v>115</v>
      </c>
      <c r="D6" s="508"/>
      <c r="E6" s="507" t="s">
        <v>317</v>
      </c>
    </row>
    <row r="7" spans="1:8" ht="12.75" customHeight="1">
      <c r="A7" s="506" t="s">
        <v>0</v>
      </c>
    </row>
    <row r="9" spans="1:8" ht="12.75" customHeight="1">
      <c r="A9" s="509" t="s">
        <v>322</v>
      </c>
      <c r="C9" s="545">
        <v>4.2279999999999998</v>
      </c>
      <c r="D9" s="541"/>
      <c r="E9" s="545">
        <f>+C9</f>
        <v>4.2279999999999998</v>
      </c>
      <c r="F9" s="541"/>
      <c r="G9" s="541"/>
    </row>
    <row r="10" spans="1:8" ht="12.75" customHeight="1">
      <c r="A10" s="506" t="s">
        <v>93</v>
      </c>
      <c r="C10" s="546">
        <v>1.744</v>
      </c>
      <c r="D10" s="547"/>
      <c r="E10" s="546">
        <v>1.302</v>
      </c>
      <c r="F10" s="541"/>
      <c r="G10" s="541"/>
    </row>
    <row r="11" spans="1:8" ht="12.75" customHeight="1">
      <c r="A11" s="510" t="s">
        <v>312</v>
      </c>
      <c r="C11" s="545">
        <f>SUM(C9:C10)</f>
        <v>5.9719999999999995</v>
      </c>
      <c r="D11" s="541"/>
      <c r="E11" s="545">
        <f>SUM(E9:E10)</f>
        <v>5.5299999999999994</v>
      </c>
      <c r="F11" s="541"/>
      <c r="G11" s="541"/>
    </row>
    <row r="12" spans="1:8" ht="12.75" customHeight="1">
      <c r="C12" s="541"/>
      <c r="D12" s="541"/>
      <c r="E12" s="541"/>
      <c r="F12" s="541"/>
      <c r="G12" s="541"/>
    </row>
    <row r="13" spans="1:8" ht="12.75" customHeight="1">
      <c r="C13" s="541"/>
      <c r="D13" s="541"/>
      <c r="E13" s="541"/>
      <c r="F13" s="541"/>
      <c r="G13" s="541"/>
      <c r="H13" s="541"/>
    </row>
    <row r="14" spans="1:8" ht="12.75" customHeight="1">
      <c r="C14" s="541"/>
      <c r="D14" s="541"/>
      <c r="E14" s="541"/>
      <c r="F14" s="541"/>
      <c r="G14" s="541"/>
      <c r="H14" s="541"/>
    </row>
    <row r="15" spans="1:8" ht="12.75" customHeight="1">
      <c r="A15" s="506" t="s">
        <v>326</v>
      </c>
      <c r="C15" s="548">
        <v>16172274</v>
      </c>
      <c r="D15" s="541"/>
      <c r="E15" s="541"/>
      <c r="F15" s="541"/>
      <c r="G15" s="541"/>
      <c r="H15" s="541"/>
    </row>
    <row r="16" spans="1:8" ht="12.75" customHeight="1">
      <c r="A16" s="506" t="s">
        <v>327</v>
      </c>
      <c r="C16" s="323">
        <f>17252470-C15+291193</f>
        <v>1371389</v>
      </c>
      <c r="D16" s="541"/>
      <c r="E16" s="541"/>
      <c r="F16" s="541"/>
      <c r="G16" s="541"/>
      <c r="H16" s="541"/>
    </row>
    <row r="17" spans="1:8" ht="12.75" customHeight="1">
      <c r="A17" s="506" t="s">
        <v>328</v>
      </c>
      <c r="C17" s="542">
        <f>SUM(C15:C16)</f>
        <v>17543663</v>
      </c>
      <c r="D17" s="541"/>
      <c r="E17" s="541">
        <f>ROUND(+C17/C19/0.99,3)</f>
        <v>2.577</v>
      </c>
      <c r="F17" s="541" t="s">
        <v>363</v>
      </c>
      <c r="G17" s="541"/>
      <c r="H17" s="541"/>
    </row>
    <row r="18" spans="1:8" ht="12.75" customHeight="1">
      <c r="C18" s="541"/>
      <c r="D18" s="541"/>
      <c r="E18" s="541"/>
      <c r="F18" s="541"/>
      <c r="G18" s="541"/>
      <c r="H18" s="541"/>
    </row>
    <row r="19" spans="1:8" ht="12.75" customHeight="1">
      <c r="A19" s="506" t="s">
        <v>329</v>
      </c>
      <c r="C19" s="322">
        <v>6875967</v>
      </c>
      <c r="D19" s="541"/>
      <c r="E19" s="541"/>
      <c r="F19" s="541"/>
      <c r="G19" s="541"/>
      <c r="H19" s="541"/>
    </row>
    <row r="20" spans="1:8" ht="12.75" customHeight="1">
      <c r="C20" s="541"/>
      <c r="D20" s="541"/>
      <c r="E20" s="541"/>
      <c r="F20" s="541"/>
      <c r="G20" s="541"/>
    </row>
    <row r="21" spans="1:8" ht="12.75" customHeight="1">
      <c r="A21" s="511" t="s">
        <v>313</v>
      </c>
      <c r="C21" s="541"/>
      <c r="D21" s="541"/>
      <c r="E21" s="541"/>
      <c r="F21" s="541"/>
      <c r="G21" s="541"/>
    </row>
    <row r="22" spans="1:8" ht="12.75" customHeight="1">
      <c r="A22" s="509" t="s">
        <v>323</v>
      </c>
      <c r="C22" s="542">
        <v>11238050</v>
      </c>
      <c r="D22" s="541"/>
      <c r="E22" s="541"/>
      <c r="F22" s="541"/>
      <c r="G22" s="541"/>
    </row>
    <row r="23" spans="1:8" ht="12.75" customHeight="1">
      <c r="A23" s="509" t="s">
        <v>324</v>
      </c>
      <c r="C23" s="543">
        <f>65064+12500+1460</f>
        <v>79024</v>
      </c>
      <c r="D23" s="541"/>
      <c r="E23" s="541"/>
      <c r="F23" s="541"/>
      <c r="G23" s="541"/>
    </row>
    <row r="24" spans="1:8" ht="12.75" customHeight="1">
      <c r="A24" s="510" t="s">
        <v>314</v>
      </c>
      <c r="C24" s="544">
        <f>+ROUND(C22/C23,2)</f>
        <v>142.21</v>
      </c>
      <c r="D24" s="541"/>
      <c r="E24" s="541"/>
      <c r="F24" s="541"/>
      <c r="G24" s="541"/>
    </row>
    <row r="25" spans="1:8" ht="12.75" customHeight="1">
      <c r="C25" s="541"/>
      <c r="D25" s="541"/>
      <c r="E25" s="541"/>
      <c r="F25" s="541"/>
      <c r="G25" s="541"/>
    </row>
    <row r="27" spans="1:8" ht="12.75" customHeight="1">
      <c r="A27" s="509" t="s">
        <v>353</v>
      </c>
    </row>
    <row r="28" spans="1:8" ht="12.75" customHeight="1">
      <c r="A28" s="512" t="s">
        <v>325</v>
      </c>
    </row>
    <row r="32" spans="1:8" ht="12.75" customHeight="1">
      <c r="A32" s="536" t="s">
        <v>344</v>
      </c>
    </row>
    <row r="33" spans="1:9" ht="12.75" customHeight="1">
      <c r="A33" s="513" t="s">
        <v>115</v>
      </c>
      <c r="B33" s="514"/>
      <c r="C33" s="515"/>
      <c r="D33" s="514"/>
      <c r="E33" s="514"/>
      <c r="F33" s="514"/>
      <c r="G33" s="514"/>
      <c r="H33" s="514"/>
      <c r="I33" s="514"/>
    </row>
    <row r="34" spans="1:9" ht="12.75" customHeight="1">
      <c r="A34" s="514" t="s">
        <v>330</v>
      </c>
      <c r="B34" s="515">
        <v>42095</v>
      </c>
      <c r="C34" s="514">
        <v>12</v>
      </c>
      <c r="D34" s="514"/>
      <c r="E34" s="516">
        <v>9.25</v>
      </c>
      <c r="F34" s="514"/>
      <c r="G34" s="516">
        <f>C34*E34</f>
        <v>111</v>
      </c>
    </row>
    <row r="35" spans="1:9" ht="12.75" customHeight="1">
      <c r="A35" s="514" t="s">
        <v>331</v>
      </c>
      <c r="B35" s="514"/>
      <c r="C35" s="514"/>
      <c r="D35" s="514"/>
      <c r="E35" s="514"/>
      <c r="F35" s="514"/>
      <c r="G35" s="516"/>
    </row>
    <row r="36" spans="1:9" ht="12.75" customHeight="1">
      <c r="A36" s="517" t="s">
        <v>332</v>
      </c>
      <c r="B36" s="514"/>
      <c r="C36" s="518">
        <v>12000</v>
      </c>
      <c r="D36" s="514"/>
      <c r="E36" s="519">
        <v>9.9890000000000007E-2</v>
      </c>
      <c r="F36" s="514"/>
      <c r="G36" s="516">
        <f>C36*E36</f>
        <v>1198.68</v>
      </c>
    </row>
    <row r="37" spans="1:9" ht="12.75" customHeight="1">
      <c r="A37" s="517" t="s">
        <v>333</v>
      </c>
      <c r="B37" s="514"/>
      <c r="C37" s="518">
        <v>12000</v>
      </c>
      <c r="D37" s="514"/>
      <c r="E37" s="519">
        <v>3.2919999999999998E-2</v>
      </c>
      <c r="F37" s="514"/>
      <c r="G37" s="520">
        <f>C37*E37</f>
        <v>395.03999999999996</v>
      </c>
    </row>
    <row r="38" spans="1:9" ht="12.75" customHeight="1" thickBot="1">
      <c r="A38" s="521" t="s">
        <v>334</v>
      </c>
      <c r="B38" s="514"/>
      <c r="C38" s="515"/>
      <c r="D38" s="514"/>
      <c r="E38" s="514"/>
      <c r="F38" s="514"/>
      <c r="G38" s="522">
        <f>SUM(G34:G37)</f>
        <v>1704.72</v>
      </c>
    </row>
    <row r="39" spans="1:9" ht="12.75" customHeight="1" thickTop="1">
      <c r="A39" s="521"/>
      <c r="B39" s="514"/>
      <c r="C39" s="515"/>
      <c r="D39" s="514"/>
      <c r="E39" s="514"/>
      <c r="F39" s="514"/>
      <c r="G39" s="523"/>
    </row>
    <row r="40" spans="1:9" ht="12.75" customHeight="1">
      <c r="A40" s="521" t="s">
        <v>335</v>
      </c>
      <c r="B40" s="514"/>
      <c r="C40" s="515"/>
      <c r="D40" s="514"/>
      <c r="E40" s="514"/>
      <c r="F40" s="514"/>
      <c r="G40" s="524">
        <f>ROUND(G38/C36,5)</f>
        <v>0.14205999999999999</v>
      </c>
    </row>
    <row r="42" spans="1:9" ht="12.75" customHeight="1">
      <c r="A42" s="525" t="s">
        <v>364</v>
      </c>
      <c r="C42" s="526"/>
    </row>
    <row r="43" spans="1:9" ht="12.75" customHeight="1">
      <c r="A43" s="527" t="s">
        <v>330</v>
      </c>
      <c r="C43" s="527">
        <v>12</v>
      </c>
      <c r="E43" s="528">
        <v>12</v>
      </c>
      <c r="G43" s="528">
        <f>C43*E43</f>
        <v>144</v>
      </c>
    </row>
    <row r="44" spans="1:9" ht="12.75" customHeight="1">
      <c r="A44" s="527" t="s">
        <v>331</v>
      </c>
      <c r="G44" s="528"/>
    </row>
    <row r="45" spans="1:9" ht="12.75" customHeight="1">
      <c r="A45" s="529" t="s">
        <v>336</v>
      </c>
      <c r="C45" s="530">
        <f>ROUND(3000*12,0)</f>
        <v>36000</v>
      </c>
      <c r="E45" s="527">
        <v>8.4629999999999997E-2</v>
      </c>
      <c r="G45" s="528">
        <f t="shared" ref="G45:G50" si="0">C45*E45</f>
        <v>3046.68</v>
      </c>
    </row>
    <row r="46" spans="1:9" ht="12.75" customHeight="1">
      <c r="A46" s="529" t="s">
        <v>337</v>
      </c>
      <c r="C46" s="530">
        <v>36000</v>
      </c>
      <c r="E46" s="527">
        <v>6.7629999999999996E-2</v>
      </c>
      <c r="G46" s="531">
        <f t="shared" si="0"/>
        <v>2434.6799999999998</v>
      </c>
    </row>
    <row r="47" spans="1:9" ht="12.75" customHeight="1">
      <c r="A47" s="529" t="s">
        <v>333</v>
      </c>
      <c r="C47" s="530">
        <f>SUM(C45:C46)</f>
        <v>72000</v>
      </c>
      <c r="E47" s="527">
        <v>3.3950000000000001E-2</v>
      </c>
      <c r="G47" s="531">
        <f t="shared" si="0"/>
        <v>2444.4</v>
      </c>
    </row>
    <row r="48" spans="1:9" ht="12.75" customHeight="1">
      <c r="A48" s="527" t="s">
        <v>338</v>
      </c>
      <c r="G48" s="528"/>
    </row>
    <row r="49" spans="1:7" ht="12.75" customHeight="1">
      <c r="A49" s="529" t="s">
        <v>339</v>
      </c>
      <c r="C49" s="527">
        <v>200</v>
      </c>
      <c r="E49" s="527">
        <v>8.25</v>
      </c>
      <c r="G49" s="528">
        <f t="shared" si="0"/>
        <v>1650</v>
      </c>
    </row>
    <row r="50" spans="1:7" ht="12.75" customHeight="1">
      <c r="A50" s="529" t="s">
        <v>340</v>
      </c>
      <c r="C50" s="527"/>
      <c r="E50" s="527">
        <v>7.75</v>
      </c>
      <c r="G50" s="528">
        <f t="shared" si="0"/>
        <v>0</v>
      </c>
    </row>
    <row r="51" spans="1:7" ht="12.75" customHeight="1" thickBot="1">
      <c r="A51" s="532" t="s">
        <v>334</v>
      </c>
      <c r="G51" s="533">
        <f>SUM(G43:G50)</f>
        <v>9719.76</v>
      </c>
    </row>
    <row r="52" spans="1:7" ht="12.75" customHeight="1" thickTop="1">
      <c r="A52" s="532"/>
      <c r="G52" s="534"/>
    </row>
    <row r="53" spans="1:7" ht="12.75" customHeight="1">
      <c r="A53" s="532" t="s">
        <v>335</v>
      </c>
      <c r="G53" s="524">
        <f>ROUND(G51/C47,5)</f>
        <v>0.13500000000000001</v>
      </c>
    </row>
    <row r="56" spans="1:7" ht="12.75" customHeight="1">
      <c r="A56" s="506" t="s">
        <v>341</v>
      </c>
    </row>
    <row r="57" spans="1:7" ht="12.75" customHeight="1">
      <c r="A57" s="506" t="s">
        <v>342</v>
      </c>
      <c r="C57" s="506">
        <v>1.46E-2</v>
      </c>
    </row>
    <row r="58" spans="1:7" ht="12.75" customHeight="1">
      <c r="A58" s="506" t="s">
        <v>343</v>
      </c>
      <c r="C58" s="535">
        <f>0.0051+0.0021</f>
        <v>7.1999999999999998E-3</v>
      </c>
    </row>
    <row r="59" spans="1:7" ht="12.75" customHeight="1">
      <c r="C59" s="506">
        <f>SUM(C57:C58)</f>
        <v>2.18E-2</v>
      </c>
    </row>
  </sheetData>
  <mergeCells count="1">
    <mergeCell ref="C5:E5"/>
  </mergeCells>
  <pageMargins left="1.3" right="0.17" top="0.56000000000000005" bottom="0.2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zoomScaleNormal="100" workbookViewId="0">
      <selection activeCell="K18" sqref="K18"/>
    </sheetView>
  </sheetViews>
  <sheetFormatPr defaultColWidth="9.109375" defaultRowHeight="13.2"/>
  <cols>
    <col min="1" max="1" width="36.33203125" style="200" customWidth="1"/>
    <col min="2" max="2" width="11.5546875" style="200" customWidth="1"/>
    <col min="3" max="3" width="10" style="200" customWidth="1"/>
    <col min="4" max="4" width="8.109375" style="200" customWidth="1"/>
    <col min="5" max="6" width="12.33203125" style="200" customWidth="1"/>
    <col min="7" max="7" width="8.88671875" style="200" customWidth="1"/>
    <col min="8" max="8" width="10.44140625" style="200" customWidth="1"/>
    <col min="9" max="9" width="10" style="200" customWidth="1"/>
    <col min="10" max="10" width="9.33203125" style="200" customWidth="1"/>
    <col min="11" max="11" width="10" style="200" customWidth="1"/>
    <col min="12" max="12" width="9.33203125" style="200" bestFit="1" customWidth="1"/>
    <col min="13" max="13" width="16.88671875" style="200" customWidth="1"/>
    <col min="14" max="14" width="9.109375" style="200" customWidth="1"/>
    <col min="15" max="16384" width="9.109375" style="200"/>
  </cols>
  <sheetData>
    <row r="1" spans="1:15">
      <c r="A1" s="260" t="s">
        <v>285</v>
      </c>
      <c r="B1" s="260"/>
    </row>
    <row r="2" spans="1:15">
      <c r="A2" s="260" t="s">
        <v>227</v>
      </c>
      <c r="B2" s="260"/>
    </row>
    <row r="3" spans="1:15">
      <c r="A3" s="260"/>
      <c r="E3" s="261"/>
      <c r="F3" s="261"/>
      <c r="G3" s="262"/>
      <c r="H3" s="262"/>
      <c r="I3" s="261" t="s">
        <v>228</v>
      </c>
      <c r="J3" s="261"/>
      <c r="K3" s="261"/>
      <c r="L3" s="261"/>
    </row>
    <row r="4" spans="1:15">
      <c r="A4" s="260"/>
      <c r="B4" s="260"/>
      <c r="C4" s="263"/>
      <c r="D4" s="500" t="s">
        <v>227</v>
      </c>
      <c r="E4" s="500"/>
      <c r="F4" s="500"/>
      <c r="G4" s="501"/>
      <c r="H4" s="501"/>
      <c r="I4" s="260"/>
      <c r="J4" s="260"/>
      <c r="K4" s="260"/>
      <c r="L4" s="260"/>
    </row>
    <row r="5" spans="1:15">
      <c r="A5" s="265"/>
      <c r="B5" s="500" t="s">
        <v>116</v>
      </c>
      <c r="C5" s="501"/>
      <c r="H5" s="264" t="s">
        <v>202</v>
      </c>
    </row>
    <row r="6" spans="1:15" s="264" customFormat="1">
      <c r="C6" s="264" t="s">
        <v>229</v>
      </c>
      <c r="F6" s="264" t="s">
        <v>202</v>
      </c>
      <c r="G6" s="264" t="s">
        <v>202</v>
      </c>
      <c r="H6" s="264" t="s">
        <v>230</v>
      </c>
      <c r="L6" s="264" t="s">
        <v>202</v>
      </c>
    </row>
    <row r="7" spans="1:15" s="264" customFormat="1">
      <c r="B7" s="264" t="s">
        <v>197</v>
      </c>
      <c r="C7" s="264" t="s">
        <v>213</v>
      </c>
      <c r="D7" s="264" t="s">
        <v>217</v>
      </c>
      <c r="E7" s="264" t="s">
        <v>231</v>
      </c>
      <c r="F7" s="264" t="s">
        <v>232</v>
      </c>
      <c r="G7" s="264" t="s">
        <v>233</v>
      </c>
      <c r="H7" s="264" t="s">
        <v>14</v>
      </c>
      <c r="I7" s="264" t="s">
        <v>234</v>
      </c>
      <c r="J7" s="264" t="s">
        <v>235</v>
      </c>
      <c r="K7" s="264" t="s">
        <v>236</v>
      </c>
      <c r="L7" s="264" t="s">
        <v>117</v>
      </c>
    </row>
    <row r="8" spans="1:15" s="264" customFormat="1">
      <c r="A8" s="551" t="s">
        <v>356</v>
      </c>
      <c r="B8" s="266" t="s">
        <v>237</v>
      </c>
      <c r="C8" s="266">
        <v>2015</v>
      </c>
      <c r="D8" s="266" t="s">
        <v>221</v>
      </c>
      <c r="E8" s="266" t="s">
        <v>238</v>
      </c>
      <c r="F8" s="266" t="s">
        <v>238</v>
      </c>
      <c r="G8" s="266" t="s">
        <v>239</v>
      </c>
      <c r="H8" s="266" t="s">
        <v>240</v>
      </c>
      <c r="I8" s="266" t="s">
        <v>241</v>
      </c>
      <c r="J8" s="266" t="s">
        <v>242</v>
      </c>
      <c r="K8" s="266" t="s">
        <v>214</v>
      </c>
      <c r="L8" s="266" t="s">
        <v>240</v>
      </c>
      <c r="M8" s="266" t="s">
        <v>243</v>
      </c>
    </row>
    <row r="9" spans="1:15" s="264" customFormat="1">
      <c r="A9" s="263" t="s">
        <v>115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5">
      <c r="A10" s="200" t="s">
        <v>290</v>
      </c>
      <c r="B10" s="201" t="s">
        <v>115</v>
      </c>
      <c r="C10" s="202">
        <f>+'Total Program Inputs'!C11</f>
        <v>136</v>
      </c>
      <c r="D10" s="202">
        <v>20</v>
      </c>
      <c r="E10" s="201">
        <v>90</v>
      </c>
      <c r="F10" s="201">
        <v>95</v>
      </c>
      <c r="G10" s="203">
        <f>+'Total Program Inputs'!Q11</f>
        <v>8</v>
      </c>
      <c r="H10" s="203">
        <v>732</v>
      </c>
      <c r="I10" s="247">
        <v>1380</v>
      </c>
      <c r="J10" s="247">
        <v>2000</v>
      </c>
      <c r="K10" s="248">
        <v>302</v>
      </c>
      <c r="L10" s="248">
        <v>300</v>
      </c>
      <c r="M10" s="552" t="s">
        <v>244</v>
      </c>
      <c r="O10" s="200">
        <v>0</v>
      </c>
    </row>
    <row r="11" spans="1:15">
      <c r="A11" s="200" t="s">
        <v>291</v>
      </c>
      <c r="B11" s="201" t="s">
        <v>115</v>
      </c>
      <c r="C11" s="202">
        <f>+'Total Program Inputs'!C12</f>
        <v>202</v>
      </c>
      <c r="D11" s="202">
        <v>20</v>
      </c>
      <c r="E11" s="201">
        <v>80</v>
      </c>
      <c r="F11" s="201">
        <v>95</v>
      </c>
      <c r="G11" s="203">
        <f>+'Total Program Inputs'!Q12</f>
        <v>12.7</v>
      </c>
      <c r="H11" s="203">
        <v>732</v>
      </c>
      <c r="I11" s="247">
        <v>880</v>
      </c>
      <c r="J11" s="247">
        <v>2000</v>
      </c>
      <c r="K11" s="248">
        <v>650</v>
      </c>
      <c r="L11" s="248">
        <v>300</v>
      </c>
      <c r="M11" s="552" t="s">
        <v>244</v>
      </c>
      <c r="O11" s="200" t="s">
        <v>288</v>
      </c>
    </row>
    <row r="12" spans="1:15" s="204" customFormat="1">
      <c r="A12" s="204" t="s">
        <v>246</v>
      </c>
      <c r="B12" s="205" t="s">
        <v>115</v>
      </c>
      <c r="C12" s="202">
        <f>+'Total Program Inputs'!C13</f>
        <v>4</v>
      </c>
      <c r="D12" s="206">
        <v>10</v>
      </c>
      <c r="E12" s="205">
        <v>0.57999999999999996</v>
      </c>
      <c r="F12" s="205">
        <v>0.67</v>
      </c>
      <c r="G12" s="203">
        <f>+'Total Program Inputs'!Q13</f>
        <v>4.5</v>
      </c>
      <c r="H12" s="207">
        <v>0</v>
      </c>
      <c r="I12" s="249" t="s">
        <v>113</v>
      </c>
      <c r="J12" s="249" t="s">
        <v>113</v>
      </c>
      <c r="K12" s="250">
        <v>100</v>
      </c>
      <c r="L12" s="250">
        <v>100</v>
      </c>
      <c r="M12" s="553" t="s">
        <v>245</v>
      </c>
      <c r="O12" s="204" t="s">
        <v>289</v>
      </c>
    </row>
    <row r="13" spans="1:15">
      <c r="A13" s="200" t="s">
        <v>299</v>
      </c>
      <c r="B13" s="201" t="s">
        <v>115</v>
      </c>
      <c r="C13" s="202">
        <f>+'Total Program Inputs'!C14</f>
        <v>152</v>
      </c>
      <c r="D13" s="202">
        <v>10</v>
      </c>
      <c r="E13" s="201" t="s">
        <v>113</v>
      </c>
      <c r="F13" s="201" t="s">
        <v>113</v>
      </c>
      <c r="G13" s="203">
        <f>+'Total Program Inputs'!Q14</f>
        <v>2.9</v>
      </c>
      <c r="H13" s="203">
        <v>0</v>
      </c>
      <c r="I13" s="247"/>
      <c r="J13" s="247"/>
      <c r="K13" s="248">
        <v>60</v>
      </c>
      <c r="L13" s="248">
        <v>20</v>
      </c>
      <c r="M13" s="552"/>
    </row>
    <row r="14" spans="1:15">
      <c r="B14" s="201"/>
      <c r="C14" s="202"/>
      <c r="D14" s="202"/>
      <c r="E14" s="201"/>
      <c r="F14" s="201"/>
      <c r="G14" s="203"/>
      <c r="H14" s="203"/>
      <c r="I14" s="247"/>
      <c r="J14" s="247"/>
      <c r="K14" s="248"/>
      <c r="L14" s="248"/>
      <c r="M14" s="552"/>
    </row>
    <row r="15" spans="1:15">
      <c r="A15" s="260" t="s">
        <v>249</v>
      </c>
      <c r="B15" s="201"/>
      <c r="C15" s="202"/>
      <c r="D15" s="202"/>
      <c r="E15" s="201"/>
      <c r="F15" s="201"/>
      <c r="G15" s="203"/>
      <c r="H15" s="203"/>
      <c r="I15" s="247"/>
      <c r="J15" s="247"/>
      <c r="K15" s="248"/>
      <c r="L15" s="248"/>
      <c r="M15" s="552"/>
    </row>
    <row r="16" spans="1:15">
      <c r="A16" s="200" t="s">
        <v>290</v>
      </c>
      <c r="B16" s="201" t="s">
        <v>249</v>
      </c>
      <c r="C16" s="202">
        <f>+'Total Program Inputs'!C17</f>
        <v>0</v>
      </c>
      <c r="D16" s="202">
        <v>20</v>
      </c>
      <c r="E16" s="201">
        <v>90</v>
      </c>
      <c r="F16" s="201">
        <v>95</v>
      </c>
      <c r="G16" s="203" t="e">
        <f>+'Total Program Inputs'!Q17</f>
        <v>#DIV/0!</v>
      </c>
      <c r="H16" s="203">
        <v>732</v>
      </c>
      <c r="I16" s="247">
        <v>880</v>
      </c>
      <c r="J16" s="247">
        <v>2000</v>
      </c>
      <c r="K16" s="248">
        <v>302</v>
      </c>
      <c r="L16" s="248">
        <v>300</v>
      </c>
      <c r="M16" s="552" t="s">
        <v>244</v>
      </c>
    </row>
    <row r="17" spans="1:13">
      <c r="A17" s="204" t="s">
        <v>291</v>
      </c>
      <c r="B17" s="201" t="s">
        <v>249</v>
      </c>
      <c r="C17" s="202">
        <f>+'Total Program Inputs'!C18</f>
        <v>6</v>
      </c>
      <c r="D17" s="202">
        <v>20</v>
      </c>
      <c r="E17" s="201">
        <v>80</v>
      </c>
      <c r="F17" s="201">
        <v>95</v>
      </c>
      <c r="G17" s="203">
        <f>+'Total Program Inputs'!Q18</f>
        <v>25</v>
      </c>
      <c r="H17" s="203">
        <v>732</v>
      </c>
      <c r="I17" s="247">
        <v>880</v>
      </c>
      <c r="J17" s="247">
        <v>2000</v>
      </c>
      <c r="K17" s="248">
        <v>650</v>
      </c>
      <c r="L17" s="248">
        <v>300</v>
      </c>
      <c r="M17" s="552" t="s">
        <v>244</v>
      </c>
    </row>
    <row r="18" spans="1:13">
      <c r="A18" s="204" t="s">
        <v>247</v>
      </c>
      <c r="B18" s="201" t="s">
        <v>249</v>
      </c>
      <c r="C18" s="503">
        <f>+'Total Program Inputs'!C19</f>
        <v>0</v>
      </c>
      <c r="D18" s="202">
        <v>15</v>
      </c>
      <c r="E18" s="201" t="s">
        <v>113</v>
      </c>
      <c r="F18" s="201" t="s">
        <v>113</v>
      </c>
      <c r="G18" s="203" t="e">
        <f>+'Total Program Inputs'!Q19</f>
        <v>#DIV/0!</v>
      </c>
      <c r="H18" s="203">
        <v>0</v>
      </c>
      <c r="I18" s="247" t="s">
        <v>113</v>
      </c>
      <c r="J18" s="247" t="s">
        <v>113</v>
      </c>
      <c r="K18" s="248">
        <v>3000</v>
      </c>
      <c r="L18" s="248">
        <v>600</v>
      </c>
      <c r="M18" s="552"/>
    </row>
    <row r="19" spans="1:13" ht="13.8" thickBot="1">
      <c r="A19" s="267" t="s">
        <v>114</v>
      </c>
      <c r="B19" s="502"/>
      <c r="C19" s="504">
        <f>SUM(C10:C18)</f>
        <v>500</v>
      </c>
      <c r="D19" s="269"/>
      <c r="E19" s="267"/>
      <c r="F19" s="267"/>
      <c r="G19" s="267"/>
      <c r="H19" s="267"/>
      <c r="I19" s="267"/>
      <c r="J19" s="267"/>
      <c r="K19" s="270"/>
      <c r="L19" s="267"/>
      <c r="M19" s="268"/>
    </row>
    <row r="20" spans="1:13" ht="13.8" thickTop="1">
      <c r="A20" s="204"/>
      <c r="B20" s="204"/>
    </row>
    <row r="21" spans="1:13">
      <c r="A21" s="204"/>
      <c r="B21" s="204"/>
    </row>
    <row r="23" spans="1:13">
      <c r="D23" s="271"/>
    </row>
  </sheetData>
  <pageMargins left="0.17" right="0.17" top="1" bottom="0.25" header="0.99" footer="0.3"/>
  <pageSetup scale="83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workbookViewId="0">
      <selection activeCell="E11" sqref="E11"/>
    </sheetView>
  </sheetViews>
  <sheetFormatPr defaultColWidth="9.109375" defaultRowHeight="13.2"/>
  <cols>
    <col min="1" max="1" width="27.5546875" style="294" customWidth="1"/>
    <col min="2" max="2" width="12.109375" style="294" customWidth="1"/>
    <col min="3" max="3" width="10.88671875" style="294" bestFit="1" customWidth="1"/>
    <col min="4" max="4" width="1.33203125" style="294" customWidth="1"/>
    <col min="5" max="5" width="10.33203125" style="294" bestFit="1" customWidth="1"/>
    <col min="6" max="6" width="1.33203125" style="294" customWidth="1"/>
    <col min="7" max="7" width="9.109375" style="294" bestFit="1" customWidth="1"/>
    <col min="8" max="8" width="2" style="294" customWidth="1"/>
    <col min="9" max="9" width="10.109375" style="294" bestFit="1" customWidth="1"/>
    <col min="10" max="10" width="1.5546875" style="294" customWidth="1"/>
    <col min="11" max="11" width="10.44140625" style="294" bestFit="1" customWidth="1"/>
    <col min="12" max="12" width="1.44140625" style="294" customWidth="1"/>
    <col min="13" max="13" width="9.109375" style="294" bestFit="1" customWidth="1"/>
    <col min="14" max="16384" width="9.109375" style="294"/>
  </cols>
  <sheetData>
    <row r="1" spans="1:21">
      <c r="A1" s="293" t="s">
        <v>94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21">
      <c r="A2" s="293" t="s">
        <v>283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21">
      <c r="A3" s="293" t="s">
        <v>309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21">
      <c r="A4" s="293" t="s">
        <v>346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8" spans="1:21">
      <c r="C8" s="295"/>
      <c r="D8" s="295"/>
      <c r="E8" s="295"/>
      <c r="F8" s="295"/>
      <c r="G8" s="295" t="s">
        <v>117</v>
      </c>
      <c r="H8" s="295"/>
      <c r="I8" s="295" t="s">
        <v>144</v>
      </c>
      <c r="J8" s="295"/>
      <c r="K8" s="295" t="s">
        <v>144</v>
      </c>
      <c r="L8" s="295"/>
      <c r="M8" s="295" t="s">
        <v>20</v>
      </c>
    </row>
    <row r="9" spans="1:21">
      <c r="C9" s="296" t="s">
        <v>213</v>
      </c>
      <c r="D9" s="295"/>
      <c r="E9" s="296" t="s">
        <v>292</v>
      </c>
      <c r="F9" s="295"/>
      <c r="G9" s="296" t="s">
        <v>307</v>
      </c>
      <c r="H9" s="297"/>
      <c r="I9" s="296" t="s">
        <v>308</v>
      </c>
      <c r="J9" s="295"/>
      <c r="K9" s="298" t="s">
        <v>310</v>
      </c>
      <c r="L9" s="295"/>
      <c r="M9" s="296" t="s">
        <v>307</v>
      </c>
      <c r="O9" s="298" t="s">
        <v>117</v>
      </c>
      <c r="Q9" s="296" t="s">
        <v>311</v>
      </c>
      <c r="T9" s="311"/>
      <c r="U9" s="311"/>
    </row>
    <row r="10" spans="1:21">
      <c r="A10" s="299" t="s">
        <v>115</v>
      </c>
      <c r="T10" s="311"/>
      <c r="U10" s="311"/>
    </row>
    <row r="11" spans="1:21">
      <c r="A11" s="300" t="s">
        <v>300</v>
      </c>
      <c r="C11" s="301">
        <v>136</v>
      </c>
      <c r="D11" s="301"/>
      <c r="E11" s="322">
        <v>1086</v>
      </c>
      <c r="F11" s="301"/>
      <c r="G11" s="302">
        <v>40800</v>
      </c>
      <c r="I11" s="303">
        <f>+ROUND(G11/$G$22,4)</f>
        <v>0.3826</v>
      </c>
      <c r="K11" s="302">
        <f>+ROUND(I11*$C$28,0)</f>
        <v>3031</v>
      </c>
      <c r="M11" s="302">
        <f t="shared" ref="M11:M14" si="0">+G11+K11</f>
        <v>43831</v>
      </c>
      <c r="O11" s="294">
        <v>300</v>
      </c>
      <c r="Q11" s="554">
        <f>ROUND(+E11/C11,1)</f>
        <v>8</v>
      </c>
      <c r="T11" s="311"/>
      <c r="U11" s="310"/>
    </row>
    <row r="12" spans="1:21">
      <c r="A12" s="300" t="s">
        <v>301</v>
      </c>
      <c r="C12" s="310">
        <v>202</v>
      </c>
      <c r="D12" s="310"/>
      <c r="E12" s="322">
        <v>2559</v>
      </c>
      <c r="F12" s="310"/>
      <c r="G12" s="310">
        <v>60600</v>
      </c>
      <c r="H12" s="311"/>
      <c r="I12" s="303">
        <f>+ROUND(G12/$G$22,4)</f>
        <v>0.56830000000000003</v>
      </c>
      <c r="J12" s="311"/>
      <c r="K12" s="301">
        <f>+ROUND(I12*$C$28,0)</f>
        <v>4503</v>
      </c>
      <c r="L12" s="311"/>
      <c r="M12" s="310">
        <f t="shared" si="0"/>
        <v>65103</v>
      </c>
      <c r="O12" s="294">
        <v>300</v>
      </c>
      <c r="Q12" s="554">
        <f t="shared" ref="Q12:Q14" si="1">ROUND(+E12/C12,1)</f>
        <v>12.7</v>
      </c>
      <c r="T12" s="311"/>
      <c r="U12" s="310"/>
    </row>
    <row r="13" spans="1:21">
      <c r="A13" s="300" t="s">
        <v>347</v>
      </c>
      <c r="C13" s="301">
        <v>4</v>
      </c>
      <c r="D13" s="301"/>
      <c r="E13" s="322">
        <v>18</v>
      </c>
      <c r="F13" s="301"/>
      <c r="G13" s="301">
        <v>400</v>
      </c>
      <c r="I13" s="303">
        <f>+ROUND(G13/$G$22,4)-0.0001</f>
        <v>3.7000000000000002E-3</v>
      </c>
      <c r="K13" s="301">
        <f>+ROUND(I13*$C$28,0)</f>
        <v>29</v>
      </c>
      <c r="M13" s="301">
        <f t="shared" si="0"/>
        <v>429</v>
      </c>
      <c r="O13" s="294">
        <v>100</v>
      </c>
      <c r="Q13" s="554">
        <f t="shared" si="1"/>
        <v>4.5</v>
      </c>
      <c r="T13" s="311"/>
      <c r="U13" s="310"/>
    </row>
    <row r="14" spans="1:21">
      <c r="A14" s="304" t="s">
        <v>299</v>
      </c>
      <c r="C14" s="305">
        <v>152</v>
      </c>
      <c r="D14" s="310"/>
      <c r="E14" s="323">
        <v>441</v>
      </c>
      <c r="F14" s="310"/>
      <c r="G14" s="305">
        <v>3040</v>
      </c>
      <c r="H14" s="311"/>
      <c r="I14" s="330">
        <f>+ROUND(G14/$G$22,4)</f>
        <v>2.8500000000000001E-2</v>
      </c>
      <c r="J14" s="311"/>
      <c r="K14" s="305">
        <f>+ROUND(I14*$C$28,0)</f>
        <v>226</v>
      </c>
      <c r="L14" s="311"/>
      <c r="M14" s="305">
        <f t="shared" si="0"/>
        <v>3266</v>
      </c>
      <c r="O14" s="294">
        <v>20</v>
      </c>
      <c r="Q14" s="554">
        <f t="shared" si="1"/>
        <v>2.9</v>
      </c>
      <c r="T14" s="311"/>
      <c r="U14" s="310"/>
    </row>
    <row r="15" spans="1:21">
      <c r="A15" s="306" t="s">
        <v>293</v>
      </c>
      <c r="C15" s="301">
        <f>SUM(C11:C14)</f>
        <v>494</v>
      </c>
      <c r="D15" s="301"/>
      <c r="E15" s="322">
        <f>SUM(E11:E14)</f>
        <v>4104</v>
      </c>
      <c r="F15" s="301"/>
      <c r="G15" s="302">
        <f>SUM(G11:G14)</f>
        <v>104840</v>
      </c>
      <c r="I15" s="303">
        <f>SUM(I11:I14)</f>
        <v>0.98310000000000008</v>
      </c>
      <c r="K15" s="302">
        <f>SUM(K11:K14)</f>
        <v>7789</v>
      </c>
      <c r="M15" s="302">
        <f>SUM(M11:M14)</f>
        <v>112629</v>
      </c>
      <c r="Q15" s="554"/>
      <c r="T15" s="311"/>
      <c r="U15" s="310"/>
    </row>
    <row r="16" spans="1:21">
      <c r="A16" s="307" t="s">
        <v>302</v>
      </c>
      <c r="C16" s="301"/>
      <c r="D16" s="301"/>
      <c r="E16" s="322"/>
      <c r="F16" s="301"/>
      <c r="G16" s="301"/>
      <c r="I16" s="303"/>
      <c r="K16" s="301"/>
      <c r="M16" s="301"/>
      <c r="Q16" s="554"/>
      <c r="T16" s="311"/>
      <c r="U16" s="310"/>
    </row>
    <row r="17" spans="1:21">
      <c r="A17" s="300" t="s">
        <v>300</v>
      </c>
      <c r="C17" s="301">
        <v>0</v>
      </c>
      <c r="D17" s="301"/>
      <c r="E17" s="322">
        <v>0</v>
      </c>
      <c r="F17" s="301"/>
      <c r="G17" s="302">
        <f t="shared" ref="G17" si="2">+ROUND(O17*C17,0)</f>
        <v>0</v>
      </c>
      <c r="I17" s="303">
        <f>+ROUND(G17/$G$22,4)</f>
        <v>0</v>
      </c>
      <c r="K17" s="302">
        <f>+ROUND(I17*$C$28,0)</f>
        <v>0</v>
      </c>
      <c r="M17" s="302">
        <f t="shared" ref="M17" si="3">+G17+K17</f>
        <v>0</v>
      </c>
      <c r="O17" s="294">
        <v>300</v>
      </c>
      <c r="Q17" s="554" t="e">
        <f t="shared" ref="Q17:Q19" si="4">ROUND(+E17/C17,1)</f>
        <v>#DIV/0!</v>
      </c>
      <c r="T17" s="311"/>
      <c r="U17" s="310"/>
    </row>
    <row r="18" spans="1:21">
      <c r="A18" s="300" t="s">
        <v>303</v>
      </c>
      <c r="C18" s="301">
        <v>6</v>
      </c>
      <c r="D18" s="301"/>
      <c r="E18" s="322">
        <v>150</v>
      </c>
      <c r="F18" s="301"/>
      <c r="G18" s="301">
        <v>1800</v>
      </c>
      <c r="I18" s="303">
        <f>+ROUND(G18/$G$22,4)</f>
        <v>1.6899999999999998E-2</v>
      </c>
      <c r="K18" s="301">
        <f>+ROUND(I18*$C$28,0)</f>
        <v>134</v>
      </c>
      <c r="M18" s="301">
        <f t="shared" ref="M18" si="5">+G18+K18</f>
        <v>1934</v>
      </c>
      <c r="N18" s="302"/>
      <c r="O18" s="294">
        <v>300</v>
      </c>
      <c r="Q18" s="554">
        <f t="shared" si="4"/>
        <v>25</v>
      </c>
      <c r="T18" s="311"/>
      <c r="U18" s="310"/>
    </row>
    <row r="19" spans="1:21">
      <c r="A19" s="300" t="s">
        <v>304</v>
      </c>
      <c r="C19" s="305">
        <v>0</v>
      </c>
      <c r="D19" s="301"/>
      <c r="E19" s="323">
        <v>0</v>
      </c>
      <c r="F19" s="301"/>
      <c r="G19" s="305">
        <f t="shared" ref="G19" si="6">+ROUND(O19*C19,0)</f>
        <v>0</v>
      </c>
      <c r="I19" s="330">
        <f>+ROUND(G19/$G$22,4)</f>
        <v>0</v>
      </c>
      <c r="K19" s="305">
        <f>+ROUND(I19*$C$28,0)</f>
        <v>0</v>
      </c>
      <c r="M19" s="305">
        <f t="shared" ref="M19" si="7">+G19+K19</f>
        <v>0</v>
      </c>
      <c r="O19" s="294">
        <v>600</v>
      </c>
      <c r="Q19" s="554" t="e">
        <f t="shared" si="4"/>
        <v>#DIV/0!</v>
      </c>
      <c r="T19" s="311"/>
      <c r="U19" s="310"/>
    </row>
    <row r="20" spans="1:21">
      <c r="A20" s="306" t="s">
        <v>305</v>
      </c>
      <c r="C20" s="301">
        <f>SUM(C17:C19)</f>
        <v>6</v>
      </c>
      <c r="D20" s="301"/>
      <c r="E20" s="322">
        <f>SUM(E17:E19)</f>
        <v>150</v>
      </c>
      <c r="F20" s="301"/>
      <c r="G20" s="302">
        <f>SUM(G17:G19)</f>
        <v>1800</v>
      </c>
      <c r="I20" s="303">
        <f>SUM(I17:I19)</f>
        <v>1.6899999999999998E-2</v>
      </c>
      <c r="K20" s="302">
        <f>SUM(K17:K19)</f>
        <v>134</v>
      </c>
      <c r="M20" s="302">
        <f>SUM(M17:M19)</f>
        <v>1934</v>
      </c>
      <c r="T20" s="311"/>
      <c r="U20" s="310"/>
    </row>
    <row r="21" spans="1:21">
      <c r="A21" s="306"/>
      <c r="C21" s="301"/>
      <c r="D21" s="301"/>
      <c r="E21" s="322"/>
      <c r="F21" s="301"/>
      <c r="G21" s="301"/>
      <c r="I21" s="303"/>
      <c r="K21" s="302"/>
      <c r="M21" s="302"/>
      <c r="T21" s="311"/>
      <c r="U21" s="310"/>
    </row>
    <row r="22" spans="1:21" ht="13.8" thickBot="1">
      <c r="A22" s="306" t="s">
        <v>306</v>
      </c>
      <c r="C22" s="308">
        <f>+C15+C20</f>
        <v>500</v>
      </c>
      <c r="D22" s="301"/>
      <c r="E22" s="324">
        <f>+E15+E20</f>
        <v>4254</v>
      </c>
      <c r="F22" s="301"/>
      <c r="G22" s="309">
        <f>+G15+G20</f>
        <v>106640</v>
      </c>
      <c r="I22" s="319">
        <f>+I20+I15</f>
        <v>1</v>
      </c>
      <c r="K22" s="309">
        <f>+K15+K20</f>
        <v>7923</v>
      </c>
      <c r="L22" s="302"/>
      <c r="M22" s="309">
        <f>+M15+M20</f>
        <v>114563</v>
      </c>
      <c r="T22" s="311"/>
      <c r="U22" s="310"/>
    </row>
    <row r="23" spans="1:21" ht="13.8" thickTop="1">
      <c r="C23" s="301"/>
      <c r="D23" s="301"/>
      <c r="E23" s="322"/>
      <c r="F23" s="301"/>
      <c r="G23" s="301"/>
      <c r="I23" s="303"/>
      <c r="K23" s="301"/>
      <c r="M23" s="301"/>
      <c r="T23" s="311"/>
      <c r="U23" s="310"/>
    </row>
    <row r="24" spans="1:21">
      <c r="A24" s="537" t="s">
        <v>355</v>
      </c>
      <c r="T24" s="311"/>
      <c r="U24" s="311"/>
    </row>
    <row r="25" spans="1:21">
      <c r="A25" s="212" t="s">
        <v>348</v>
      </c>
      <c r="T25" s="311"/>
      <c r="U25" s="311"/>
    </row>
    <row r="26" spans="1:21">
      <c r="A26" s="212"/>
      <c r="C26" s="302"/>
      <c r="I26" s="499"/>
      <c r="T26" s="311"/>
      <c r="U26" s="311"/>
    </row>
    <row r="27" spans="1:21">
      <c r="C27" s="310"/>
      <c r="I27" s="499"/>
      <c r="Q27" s="294">
        <f>100/28</f>
        <v>3.5714285714285716</v>
      </c>
    </row>
    <row r="28" spans="1:21">
      <c r="A28" s="294" t="s">
        <v>321</v>
      </c>
      <c r="C28" s="302">
        <f>+'[1]2015 Actual Alloc'!$K$21</f>
        <v>7923</v>
      </c>
      <c r="I28" s="499"/>
    </row>
    <row r="29" spans="1:21">
      <c r="C29" s="301"/>
      <c r="I29" s="499"/>
    </row>
    <row r="30" spans="1:21">
      <c r="I30" s="499"/>
    </row>
    <row r="31" spans="1:21">
      <c r="I31" s="331"/>
    </row>
    <row r="32" spans="1:21">
      <c r="I32" s="331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>
      <selection activeCell="F26" sqref="F26"/>
    </sheetView>
  </sheetViews>
  <sheetFormatPr defaultColWidth="9.109375" defaultRowHeight="13.2"/>
  <cols>
    <col min="1" max="1" width="28.109375" style="212" customWidth="1"/>
    <col min="2" max="2" width="12.44140625" style="212" bestFit="1" customWidth="1"/>
    <col min="3" max="3" width="9" style="212" customWidth="1"/>
    <col min="4" max="5" width="9.5546875" style="212" customWidth="1"/>
    <col min="6" max="6" width="10.88671875" style="212" bestFit="1" customWidth="1"/>
    <col min="7" max="7" width="12.33203125" style="212" customWidth="1"/>
    <col min="8" max="11" width="15.6640625" style="212" customWidth="1"/>
    <col min="12" max="16384" width="9.109375" style="212"/>
  </cols>
  <sheetData>
    <row r="1" spans="1:7">
      <c r="A1" s="293" t="s">
        <v>94</v>
      </c>
      <c r="B1" s="293"/>
      <c r="C1" s="497"/>
      <c r="D1" s="497"/>
      <c r="E1" s="497"/>
      <c r="F1" s="497"/>
      <c r="G1" s="497"/>
    </row>
    <row r="2" spans="1:7">
      <c r="A2" s="293" t="s">
        <v>284</v>
      </c>
      <c r="B2" s="293"/>
      <c r="C2" s="497"/>
      <c r="D2" s="497"/>
      <c r="E2" s="497"/>
      <c r="F2" s="497"/>
      <c r="G2" s="497"/>
    </row>
    <row r="3" spans="1:7">
      <c r="A3" s="293" t="s">
        <v>210</v>
      </c>
      <c r="B3" s="293"/>
      <c r="C3" s="293"/>
      <c r="D3" s="293"/>
      <c r="E3" s="293"/>
      <c r="F3" s="293"/>
      <c r="G3" s="293"/>
    </row>
    <row r="4" spans="1:7">
      <c r="A4" s="293" t="s">
        <v>346</v>
      </c>
      <c r="B4" s="293"/>
      <c r="C4" s="293"/>
      <c r="D4" s="293"/>
      <c r="E4" s="293"/>
      <c r="F4" s="293"/>
      <c r="G4" s="293"/>
    </row>
    <row r="5" spans="1:7">
      <c r="A5" s="313"/>
      <c r="B5" s="211"/>
      <c r="C5" s="211"/>
      <c r="D5" s="211"/>
      <c r="E5" s="211"/>
      <c r="F5" s="211"/>
      <c r="G5" s="211"/>
    </row>
    <row r="6" spans="1:7">
      <c r="A6" s="313"/>
      <c r="B6" s="211"/>
      <c r="C6" s="211"/>
      <c r="D6" s="211"/>
      <c r="E6" s="211"/>
      <c r="F6" s="211"/>
      <c r="G6" s="213" t="s">
        <v>20</v>
      </c>
    </row>
    <row r="7" spans="1:7">
      <c r="A7" s="211"/>
      <c r="B7" s="213" t="s">
        <v>197</v>
      </c>
      <c r="C7" s="211"/>
      <c r="D7" s="211"/>
      <c r="E7" s="211"/>
      <c r="F7" s="211"/>
      <c r="G7" s="213" t="s">
        <v>319</v>
      </c>
    </row>
    <row r="8" spans="1:7">
      <c r="A8" s="256" t="s">
        <v>35</v>
      </c>
      <c r="B8" s="256" t="s">
        <v>237</v>
      </c>
      <c r="C8" s="256" t="s">
        <v>110</v>
      </c>
      <c r="D8" s="256" t="s">
        <v>22</v>
      </c>
      <c r="E8" s="256" t="s">
        <v>111</v>
      </c>
      <c r="F8" s="256" t="s">
        <v>112</v>
      </c>
      <c r="G8" s="256" t="s">
        <v>214</v>
      </c>
    </row>
    <row r="9" spans="1:7">
      <c r="A9" s="214" t="s">
        <v>209</v>
      </c>
      <c r="B9" s="214"/>
      <c r="C9" s="491">
        <f>'Total Program'!G42</f>
        <v>1.19</v>
      </c>
      <c r="D9" s="491">
        <f>'Total Program'!G43</f>
        <v>1.89</v>
      </c>
      <c r="E9" s="491">
        <f>'Total Program'!G44</f>
        <v>2.29</v>
      </c>
      <c r="F9" s="492">
        <f>'Total Program'!G45</f>
        <v>4.5658693592835</v>
      </c>
      <c r="G9" s="492">
        <f>'Total Program'!G46</f>
        <v>1.56</v>
      </c>
    </row>
    <row r="10" spans="1:7">
      <c r="A10" s="257"/>
      <c r="B10" s="258"/>
      <c r="C10" s="493"/>
      <c r="D10" s="493"/>
      <c r="E10" s="493"/>
      <c r="F10" s="493"/>
      <c r="G10" s="494"/>
    </row>
    <row r="11" spans="1:7">
      <c r="A11" s="214" t="s">
        <v>264</v>
      </c>
      <c r="B11" s="214" t="s">
        <v>115</v>
      </c>
      <c r="C11" s="491">
        <f>+'Res .95+% Res Furnace - NEW'!G42</f>
        <v>0.93</v>
      </c>
      <c r="D11" s="491">
        <f>+'Res .95+% Res Furnace - NEW'!G43</f>
        <v>1.32</v>
      </c>
      <c r="E11" s="491">
        <f>+'Res .95+% Res Furnace - NEW'!G44</f>
        <v>3.04</v>
      </c>
      <c r="F11" s="491">
        <f>+'Res .95+% Res Furnace - NEW'!G45</f>
        <v>7.1899834437086101</v>
      </c>
      <c r="G11" s="491">
        <f>+'Res .95+% Res Furnace - NEW'!G46</f>
        <v>2.0699999999999998</v>
      </c>
    </row>
    <row r="12" spans="1:7">
      <c r="A12" s="214" t="s">
        <v>265</v>
      </c>
      <c r="B12" s="214" t="s">
        <v>115</v>
      </c>
      <c r="C12" s="491">
        <f>'Res .95+% Res Furnace - Replace'!G42</f>
        <v>1.26</v>
      </c>
      <c r="D12" s="491">
        <f>'Res .95+% Res Furnace - Replace'!G43</f>
        <v>2.09</v>
      </c>
      <c r="E12" s="491">
        <f>'Res .95+% Res Furnace - Replace'!G44</f>
        <v>2.0299999999999998</v>
      </c>
      <c r="F12" s="491">
        <f>'Res .95+% Res Furnace - Replace'!G45</f>
        <v>3.8713099771515598</v>
      </c>
      <c r="G12" s="491">
        <f>'Res .95+% Res Furnace - Replace'!G46</f>
        <v>1.37</v>
      </c>
    </row>
    <row r="13" spans="1:7">
      <c r="A13" s="214" t="s">
        <v>248</v>
      </c>
      <c r="B13" s="214" t="s">
        <v>115</v>
      </c>
      <c r="C13" s="491">
        <f>'Res Water Heating .67 EF'!G42</f>
        <v>1</v>
      </c>
      <c r="D13" s="491">
        <f>'Res Water Heating .67 EF'!G43</f>
        <v>1.42</v>
      </c>
      <c r="E13" s="491">
        <f>'Res Water Heating .67 EF'!G44</f>
        <v>1.81</v>
      </c>
      <c r="F13" s="492">
        <f>'Res Water Heating .67 EF'!G45</f>
        <v>3.1475</v>
      </c>
      <c r="G13" s="492">
        <f>'Res Water Heating .67 EF'!G46</f>
        <v>1.42</v>
      </c>
    </row>
    <row r="14" spans="1:7">
      <c r="A14" s="214" t="s">
        <v>299</v>
      </c>
      <c r="B14" s="214" t="s">
        <v>115</v>
      </c>
      <c r="C14" s="491">
        <f>'Programmable Thermostats'!G42</f>
        <v>1.88</v>
      </c>
      <c r="D14" s="491">
        <f>'Programmable Thermostats'!G43</f>
        <v>4.41</v>
      </c>
      <c r="E14" s="491">
        <f>'Programmable Thermostats'!G44</f>
        <v>1.97</v>
      </c>
      <c r="F14" s="491">
        <f>'Programmable Thermostats'!G45</f>
        <v>2.6405701754386</v>
      </c>
      <c r="G14" s="491">
        <f>'Programmable Thermostats'!G46</f>
        <v>1.54</v>
      </c>
    </row>
    <row r="15" spans="1:7" ht="12.75" customHeight="1">
      <c r="A15" s="214" t="s">
        <v>264</v>
      </c>
      <c r="B15" s="214" t="s">
        <v>249</v>
      </c>
      <c r="C15" s="491"/>
      <c r="D15" s="491"/>
      <c r="E15" s="491"/>
      <c r="F15" s="492"/>
      <c r="G15" s="492"/>
    </row>
    <row r="16" spans="1:7">
      <c r="A16" s="214" t="s">
        <v>265</v>
      </c>
      <c r="B16" s="259" t="s">
        <v>249</v>
      </c>
      <c r="C16" s="495">
        <f>'Comm 95+% Furnace - Replace'!G42</f>
        <v>2.1</v>
      </c>
      <c r="D16" s="495">
        <f>'Comm 95+% Furnace - Replace'!G43</f>
        <v>4.13</v>
      </c>
      <c r="E16" s="495">
        <f>'Comm 95+% Furnace - Replace'!G44</f>
        <v>3.5</v>
      </c>
      <c r="F16" s="496">
        <f>'Comm 95+% Furnace - Replace'!G45</f>
        <v>4.9617948717948703</v>
      </c>
      <c r="G16" s="496">
        <f>'Comm 95+% Furnace - Replace'!G46</f>
        <v>2.34</v>
      </c>
    </row>
    <row r="17" spans="1:7">
      <c r="A17" s="214" t="s">
        <v>247</v>
      </c>
      <c r="B17" s="214" t="s">
        <v>249</v>
      </c>
      <c r="C17" s="491"/>
      <c r="D17" s="491"/>
      <c r="E17" s="491"/>
      <c r="F17" s="491"/>
      <c r="G17" s="491"/>
    </row>
  </sheetData>
  <phoneticPr fontId="6" type="noConversion"/>
  <printOptions horizontalCentered="1"/>
  <pageMargins left="0.25" right="0.25" top="1.25" bottom="0.75" header="0.5" footer="0.5"/>
  <pageSetup orientation="portrait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workbookViewId="0">
      <selection activeCell="I24" sqref="I24"/>
    </sheetView>
  </sheetViews>
  <sheetFormatPr defaultColWidth="10.44140625" defaultRowHeight="13.2"/>
  <cols>
    <col min="1" max="1" width="9.109375" style="222" bestFit="1" customWidth="1"/>
    <col min="2" max="2" width="38.33203125" style="222" customWidth="1"/>
    <col min="3" max="3" width="62" style="222" bestFit="1" customWidth="1"/>
    <col min="4" max="4" width="9.109375" style="222" bestFit="1" customWidth="1"/>
    <col min="5" max="5" width="11.5546875" style="222" bestFit="1" customWidth="1"/>
    <col min="6" max="16384" width="10.44140625" style="222"/>
  </cols>
  <sheetData>
    <row r="1" spans="1:8">
      <c r="A1" s="220" t="s">
        <v>94</v>
      </c>
      <c r="B1" s="221"/>
      <c r="C1" s="220"/>
      <c r="D1" s="221"/>
      <c r="E1" s="221"/>
    </row>
    <row r="2" spans="1:8">
      <c r="A2" s="220" t="s">
        <v>349</v>
      </c>
      <c r="B2" s="221"/>
      <c r="C2" s="220"/>
      <c r="D2" s="221"/>
      <c r="E2" s="221"/>
    </row>
    <row r="3" spans="1:8">
      <c r="A3" s="220" t="s">
        <v>352</v>
      </c>
      <c r="B3" s="221"/>
      <c r="C3" s="221"/>
      <c r="D3" s="221"/>
      <c r="E3" s="221"/>
    </row>
    <row r="4" spans="1:8">
      <c r="A4" s="221"/>
      <c r="B4" s="220"/>
      <c r="C4" s="220"/>
    </row>
    <row r="6" spans="1:8">
      <c r="A6" s="223" t="s">
        <v>167</v>
      </c>
      <c r="B6" s="223" t="s">
        <v>168</v>
      </c>
      <c r="C6" s="224" t="s">
        <v>169</v>
      </c>
      <c r="D6" s="224" t="s">
        <v>287</v>
      </c>
      <c r="E6" s="224" t="s">
        <v>281</v>
      </c>
    </row>
    <row r="7" spans="1:8" ht="26.4">
      <c r="A7" s="225">
        <v>1</v>
      </c>
      <c r="B7" s="226" t="s">
        <v>170</v>
      </c>
      <c r="C7" s="208" t="s">
        <v>354</v>
      </c>
      <c r="D7" s="549">
        <f>+'Gas Costs'!C11</f>
        <v>5.9719999999999995</v>
      </c>
      <c r="E7" s="208">
        <f>+'Gas Costs'!E11</f>
        <v>5.5299999999999994</v>
      </c>
    </row>
    <row r="8" spans="1:8">
      <c r="A8" s="225"/>
      <c r="B8" s="226" t="s">
        <v>269</v>
      </c>
      <c r="C8" s="208"/>
      <c r="D8" s="227">
        <v>3.5000000000000003E-2</v>
      </c>
      <c r="E8" s="227">
        <v>3.5000000000000003E-2</v>
      </c>
    </row>
    <row r="9" spans="1:8" s="230" customFormat="1" ht="39.6">
      <c r="A9" s="228">
        <v>2</v>
      </c>
      <c r="B9" s="229" t="s">
        <v>171</v>
      </c>
      <c r="C9" s="208" t="s">
        <v>204</v>
      </c>
      <c r="D9" s="208">
        <f>+'Gas Costs'!G40</f>
        <v>0.14205999999999999</v>
      </c>
      <c r="E9" s="208">
        <f>+'Gas Costs'!G53</f>
        <v>0.13500000000000001</v>
      </c>
      <c r="G9" s="222"/>
      <c r="H9" s="222"/>
    </row>
    <row r="10" spans="1:8" s="230" customFormat="1">
      <c r="A10" s="228"/>
      <c r="B10" s="229" t="s">
        <v>269</v>
      </c>
      <c r="C10" s="208"/>
      <c r="D10" s="227">
        <v>3.5000000000000003E-2</v>
      </c>
      <c r="E10" s="227">
        <v>3.5000000000000003E-2</v>
      </c>
    </row>
    <row r="11" spans="1:8" s="230" customFormat="1">
      <c r="A11" s="228"/>
      <c r="B11" s="229" t="s">
        <v>280</v>
      </c>
      <c r="C11" s="208"/>
      <c r="D11" s="208" t="s">
        <v>226</v>
      </c>
      <c r="E11" s="208" t="s">
        <v>226</v>
      </c>
    </row>
    <row r="12" spans="1:8" s="230" customFormat="1">
      <c r="A12" s="225">
        <v>3</v>
      </c>
      <c r="B12" s="231" t="s">
        <v>172</v>
      </c>
      <c r="C12" s="208" t="s">
        <v>350</v>
      </c>
      <c r="D12" s="549">
        <f>+'Gas Costs'!E17</f>
        <v>2.577</v>
      </c>
      <c r="E12" s="549">
        <f>+D12</f>
        <v>2.577</v>
      </c>
    </row>
    <row r="13" spans="1:8" s="230" customFormat="1">
      <c r="A13" s="225"/>
      <c r="B13" s="231" t="s">
        <v>269</v>
      </c>
      <c r="C13" s="208"/>
      <c r="D13" s="227">
        <v>3.5000000000000003E-2</v>
      </c>
      <c r="E13" s="227">
        <v>3.5000000000000003E-2</v>
      </c>
    </row>
    <row r="14" spans="1:8" s="230" customFormat="1">
      <c r="A14" s="232">
        <v>4</v>
      </c>
      <c r="B14" s="231" t="s">
        <v>173</v>
      </c>
      <c r="C14" s="208" t="s">
        <v>351</v>
      </c>
      <c r="D14" s="550">
        <f>+'Gas Costs'!C24</f>
        <v>142.21</v>
      </c>
      <c r="E14" s="550">
        <f>+D14</f>
        <v>142.21</v>
      </c>
    </row>
    <row r="15" spans="1:8" s="230" customFormat="1">
      <c r="A15" s="232"/>
      <c r="B15" s="231" t="s">
        <v>269</v>
      </c>
      <c r="C15" s="208"/>
      <c r="D15" s="227">
        <v>0.01</v>
      </c>
      <c r="E15" s="227">
        <v>0.01</v>
      </c>
    </row>
    <row r="16" spans="1:8" s="230" customFormat="1" ht="26.4">
      <c r="A16" s="225">
        <v>5</v>
      </c>
      <c r="B16" s="231" t="s">
        <v>174</v>
      </c>
      <c r="C16" s="208" t="s">
        <v>212</v>
      </c>
      <c r="D16" s="233">
        <v>0.01</v>
      </c>
      <c r="E16" s="233">
        <v>0.01</v>
      </c>
    </row>
    <row r="17" spans="1:5" s="230" customFormat="1" ht="26.4">
      <c r="A17" s="232">
        <v>6</v>
      </c>
      <c r="B17" s="234" t="s">
        <v>175</v>
      </c>
      <c r="C17" s="208" t="s">
        <v>176</v>
      </c>
      <c r="D17" s="235">
        <v>0</v>
      </c>
      <c r="E17" s="235">
        <v>0</v>
      </c>
    </row>
    <row r="18" spans="1:5" s="230" customFormat="1">
      <c r="A18" s="232"/>
      <c r="B18" s="234" t="s">
        <v>269</v>
      </c>
      <c r="C18" s="208"/>
      <c r="D18" s="227">
        <v>0</v>
      </c>
      <c r="E18" s="227">
        <v>0</v>
      </c>
    </row>
    <row r="19" spans="1:5" s="230" customFormat="1" ht="39.6">
      <c r="A19" s="228">
        <v>7</v>
      </c>
      <c r="B19" s="236" t="s">
        <v>177</v>
      </c>
      <c r="C19" s="208" t="s">
        <v>208</v>
      </c>
      <c r="D19" s="272">
        <f>+'Gas Costs'!C59</f>
        <v>2.18E-2</v>
      </c>
      <c r="E19" s="272">
        <f>+D19</f>
        <v>2.18E-2</v>
      </c>
    </row>
    <row r="20" spans="1:5" s="230" customFormat="1">
      <c r="A20" s="228"/>
      <c r="B20" s="236" t="s">
        <v>269</v>
      </c>
      <c r="C20" s="208"/>
      <c r="D20" s="227">
        <v>3.5000000000000003E-2</v>
      </c>
      <c r="E20" s="227">
        <v>3.5000000000000003E-2</v>
      </c>
    </row>
    <row r="21" spans="1:5" s="230" customFormat="1" ht="26.4">
      <c r="A21" s="232">
        <v>8</v>
      </c>
      <c r="B21" s="234" t="s">
        <v>178</v>
      </c>
      <c r="C21" s="208" t="s">
        <v>358</v>
      </c>
      <c r="D21" s="237">
        <v>5.0999999999999997E-2</v>
      </c>
      <c r="E21" s="237">
        <f>+D21</f>
        <v>5.0999999999999997E-2</v>
      </c>
    </row>
    <row r="22" spans="1:5" s="230" customFormat="1" ht="26.4">
      <c r="A22" s="225">
        <v>9</v>
      </c>
      <c r="B22" s="234" t="s">
        <v>179</v>
      </c>
      <c r="C22" s="208" t="s">
        <v>359</v>
      </c>
      <c r="D22" s="208">
        <v>0.35</v>
      </c>
      <c r="E22" s="208">
        <f>+D22</f>
        <v>0.35</v>
      </c>
    </row>
    <row r="23" spans="1:5" s="230" customFormat="1">
      <c r="A23" s="225"/>
      <c r="B23" s="234" t="s">
        <v>269</v>
      </c>
      <c r="C23" s="208"/>
      <c r="D23" s="227">
        <v>2.3E-2</v>
      </c>
      <c r="E23" s="227">
        <v>2.3E-2</v>
      </c>
    </row>
    <row r="24" spans="1:5" s="230" customFormat="1">
      <c r="A24" s="232">
        <v>10</v>
      </c>
      <c r="B24" s="231" t="s">
        <v>224</v>
      </c>
      <c r="C24" s="215" t="s">
        <v>198</v>
      </c>
      <c r="D24" s="235">
        <v>0</v>
      </c>
      <c r="E24" s="235">
        <v>0</v>
      </c>
    </row>
    <row r="25" spans="1:5" s="230" customFormat="1">
      <c r="A25" s="232"/>
      <c r="B25" s="231" t="s">
        <v>269</v>
      </c>
      <c r="C25" s="215"/>
      <c r="D25" s="227">
        <v>0</v>
      </c>
      <c r="E25" s="227">
        <v>0</v>
      </c>
    </row>
    <row r="26" spans="1:5" s="230" customFormat="1">
      <c r="A26" s="225">
        <v>11</v>
      </c>
      <c r="B26" s="231" t="s">
        <v>180</v>
      </c>
      <c r="C26" s="208"/>
      <c r="D26" s="237">
        <v>0.1</v>
      </c>
      <c r="E26" s="237">
        <v>0.1</v>
      </c>
    </row>
    <row r="27" spans="1:5" s="230" customFormat="1">
      <c r="A27" s="232">
        <v>12</v>
      </c>
      <c r="B27" s="231" t="s">
        <v>181</v>
      </c>
      <c r="C27" s="208" t="s">
        <v>251</v>
      </c>
      <c r="D27" s="237">
        <v>7.5999999999999998E-2</v>
      </c>
      <c r="E27" s="237">
        <f>+D27</f>
        <v>7.5999999999999998E-2</v>
      </c>
    </row>
    <row r="28" spans="1:5" s="230" customFormat="1" ht="26.4">
      <c r="A28" s="225">
        <v>13</v>
      </c>
      <c r="B28" s="234" t="s">
        <v>182</v>
      </c>
      <c r="C28" s="208" t="s">
        <v>360</v>
      </c>
      <c r="D28" s="237">
        <v>3.56E-2</v>
      </c>
      <c r="E28" s="237">
        <f>+D28</f>
        <v>3.56E-2</v>
      </c>
    </row>
    <row r="29" spans="1:5" s="230" customFormat="1">
      <c r="A29" s="232">
        <v>14</v>
      </c>
      <c r="B29" s="231" t="s">
        <v>183</v>
      </c>
      <c r="C29" s="208" t="s">
        <v>184</v>
      </c>
      <c r="D29" s="208">
        <v>2014</v>
      </c>
      <c r="E29" s="208">
        <v>2014</v>
      </c>
    </row>
    <row r="30" spans="1:5" s="230" customFormat="1">
      <c r="A30" s="225">
        <v>15</v>
      </c>
      <c r="B30" s="231" t="s">
        <v>257</v>
      </c>
      <c r="C30" s="208" t="s">
        <v>258</v>
      </c>
      <c r="D30" s="208">
        <v>2015</v>
      </c>
      <c r="E30" s="208">
        <v>2015</v>
      </c>
    </row>
    <row r="31" spans="1:5" s="230" customFormat="1">
      <c r="A31" s="225"/>
      <c r="B31" s="231"/>
      <c r="C31" s="216"/>
      <c r="D31" s="208">
        <v>2016</v>
      </c>
      <c r="E31" s="208">
        <v>2016</v>
      </c>
    </row>
    <row r="32" spans="1:5" s="230" customFormat="1">
      <c r="A32" s="225"/>
      <c r="B32" s="231"/>
      <c r="C32" s="216"/>
      <c r="D32" s="208">
        <v>2017</v>
      </c>
      <c r="E32" s="208">
        <v>2017</v>
      </c>
    </row>
    <row r="33" spans="1:5" s="230" customFormat="1">
      <c r="A33" s="232">
        <v>16</v>
      </c>
      <c r="B33" s="231" t="s">
        <v>185</v>
      </c>
      <c r="C33" s="216" t="s">
        <v>186</v>
      </c>
      <c r="D33" s="238"/>
      <c r="E33" s="238"/>
    </row>
    <row r="34" spans="1:5" s="230" customFormat="1">
      <c r="A34" s="232">
        <v>17</v>
      </c>
      <c r="B34" s="231" t="s">
        <v>187</v>
      </c>
      <c r="C34" s="216" t="s">
        <v>188</v>
      </c>
      <c r="D34" s="238"/>
      <c r="E34" s="238"/>
    </row>
    <row r="35" spans="1:5" s="230" customFormat="1" ht="26.4">
      <c r="A35" s="232">
        <v>18</v>
      </c>
      <c r="B35" s="231" t="s">
        <v>273</v>
      </c>
      <c r="C35" s="216" t="s">
        <v>206</v>
      </c>
      <c r="D35" s="235">
        <v>0</v>
      </c>
      <c r="E35" s="235">
        <v>0</v>
      </c>
    </row>
    <row r="36" spans="1:5" s="230" customFormat="1">
      <c r="A36" s="232"/>
      <c r="B36" s="231" t="s">
        <v>274</v>
      </c>
      <c r="C36" s="216"/>
      <c r="D36" s="235">
        <v>0</v>
      </c>
      <c r="E36" s="235">
        <v>0</v>
      </c>
    </row>
    <row r="37" spans="1:5" s="230" customFormat="1">
      <c r="A37" s="232"/>
      <c r="B37" s="231" t="s">
        <v>275</v>
      </c>
      <c r="C37" s="216"/>
      <c r="D37" s="235">
        <v>0</v>
      </c>
      <c r="E37" s="235">
        <v>0</v>
      </c>
    </row>
    <row r="38" spans="1:5" s="230" customFormat="1">
      <c r="A38" s="232"/>
      <c r="B38" s="231" t="s">
        <v>271</v>
      </c>
      <c r="C38" s="216"/>
      <c r="D38" s="227">
        <v>0</v>
      </c>
      <c r="E38" s="227">
        <v>0</v>
      </c>
    </row>
    <row r="39" spans="1:5" s="230" customFormat="1">
      <c r="A39" s="232"/>
      <c r="B39" s="231" t="s">
        <v>270</v>
      </c>
      <c r="C39" s="216"/>
      <c r="D39" s="227">
        <v>0</v>
      </c>
      <c r="E39" s="227">
        <v>0</v>
      </c>
    </row>
    <row r="40" spans="1:5" s="230" customFormat="1">
      <c r="A40" s="232"/>
      <c r="B40" s="231" t="s">
        <v>272</v>
      </c>
      <c r="C40" s="216"/>
      <c r="D40" s="227">
        <v>0</v>
      </c>
      <c r="E40" s="227">
        <v>0</v>
      </c>
    </row>
    <row r="41" spans="1:5" s="230" customFormat="1" ht="26.4">
      <c r="A41" s="232">
        <v>19</v>
      </c>
      <c r="B41" s="231" t="s">
        <v>276</v>
      </c>
      <c r="C41" s="208" t="s">
        <v>207</v>
      </c>
      <c r="D41" s="235">
        <v>0</v>
      </c>
      <c r="E41" s="235">
        <v>0</v>
      </c>
    </row>
    <row r="42" spans="1:5" s="230" customFormat="1">
      <c r="A42" s="232"/>
      <c r="B42" s="231" t="s">
        <v>274</v>
      </c>
      <c r="C42" s="216"/>
      <c r="D42" s="235">
        <v>0</v>
      </c>
      <c r="E42" s="235">
        <v>0</v>
      </c>
    </row>
    <row r="43" spans="1:5" s="230" customFormat="1">
      <c r="A43" s="232"/>
      <c r="B43" s="231" t="s">
        <v>275</v>
      </c>
      <c r="C43" s="216"/>
      <c r="D43" s="235">
        <v>0</v>
      </c>
      <c r="E43" s="235">
        <v>0</v>
      </c>
    </row>
    <row r="44" spans="1:5" s="230" customFormat="1">
      <c r="A44" s="232"/>
      <c r="B44" s="231" t="s">
        <v>271</v>
      </c>
      <c r="C44" s="216"/>
      <c r="D44" s="227">
        <v>0</v>
      </c>
      <c r="E44" s="227">
        <v>0</v>
      </c>
    </row>
    <row r="45" spans="1:5" s="230" customFormat="1">
      <c r="A45" s="232"/>
      <c r="B45" s="231" t="s">
        <v>270</v>
      </c>
      <c r="C45" s="216"/>
      <c r="D45" s="227">
        <v>0</v>
      </c>
      <c r="E45" s="227">
        <v>0</v>
      </c>
    </row>
    <row r="46" spans="1:5" s="230" customFormat="1">
      <c r="A46" s="232"/>
      <c r="B46" s="231" t="s">
        <v>272</v>
      </c>
      <c r="C46" s="216"/>
      <c r="D46" s="227">
        <v>1.4E-2</v>
      </c>
      <c r="E46" s="227">
        <v>1.4E-2</v>
      </c>
    </row>
    <row r="47" spans="1:5" s="230" customFormat="1" ht="26.4">
      <c r="A47" s="232">
        <v>20</v>
      </c>
      <c r="B47" s="231" t="s">
        <v>189</v>
      </c>
      <c r="C47" s="216" t="s">
        <v>190</v>
      </c>
      <c r="D47" s="238"/>
      <c r="E47" s="238"/>
    </row>
    <row r="48" spans="1:5" s="230" customFormat="1">
      <c r="A48" s="232">
        <v>21</v>
      </c>
      <c r="B48" s="231" t="s">
        <v>255</v>
      </c>
      <c r="C48" s="216" t="s">
        <v>201</v>
      </c>
      <c r="D48" s="238"/>
      <c r="E48" s="238"/>
    </row>
    <row r="49" spans="1:5" s="230" customFormat="1" ht="26.4">
      <c r="A49" s="232">
        <v>22</v>
      </c>
      <c r="B49" s="231" t="s">
        <v>277</v>
      </c>
      <c r="C49" s="208" t="s">
        <v>205</v>
      </c>
      <c r="D49" s="238"/>
      <c r="E49" s="238"/>
    </row>
    <row r="50" spans="1:5" s="230" customFormat="1">
      <c r="A50" s="232"/>
      <c r="B50" s="231" t="s">
        <v>274</v>
      </c>
      <c r="C50" s="208"/>
      <c r="D50" s="208">
        <v>0</v>
      </c>
      <c r="E50" s="208">
        <v>0</v>
      </c>
    </row>
    <row r="51" spans="1:5" s="230" customFormat="1">
      <c r="A51" s="232"/>
      <c r="B51" s="231" t="s">
        <v>275</v>
      </c>
      <c r="C51" s="208"/>
      <c r="D51" s="208">
        <v>0</v>
      </c>
      <c r="E51" s="208">
        <v>0</v>
      </c>
    </row>
    <row r="52" spans="1:5" s="230" customFormat="1" ht="26.4">
      <c r="A52" s="232" t="s">
        <v>278</v>
      </c>
      <c r="B52" s="239" t="s">
        <v>279</v>
      </c>
      <c r="C52" s="208"/>
      <c r="D52" s="208">
        <v>0</v>
      </c>
      <c r="E52" s="208">
        <v>0</v>
      </c>
    </row>
    <row r="53" spans="1:5" s="230" customFormat="1">
      <c r="A53" s="232"/>
      <c r="B53" s="231" t="s">
        <v>274</v>
      </c>
      <c r="C53" s="208"/>
      <c r="D53" s="208">
        <v>0</v>
      </c>
      <c r="E53" s="208">
        <v>0</v>
      </c>
    </row>
    <row r="54" spans="1:5" s="230" customFormat="1">
      <c r="A54" s="232"/>
      <c r="B54" s="231" t="s">
        <v>275</v>
      </c>
      <c r="C54" s="208"/>
      <c r="D54" s="208">
        <v>0</v>
      </c>
      <c r="E54" s="208">
        <v>0</v>
      </c>
    </row>
    <row r="55" spans="1:5" s="230" customFormat="1">
      <c r="A55" s="232">
        <v>23</v>
      </c>
      <c r="B55" s="231" t="s">
        <v>191</v>
      </c>
      <c r="C55" s="217" t="s">
        <v>192</v>
      </c>
      <c r="D55" s="238"/>
      <c r="E55" s="238"/>
    </row>
    <row r="56" spans="1:5">
      <c r="A56" s="232">
        <v>24</v>
      </c>
      <c r="B56" s="240" t="s">
        <v>259</v>
      </c>
      <c r="C56" s="208" t="s">
        <v>256</v>
      </c>
      <c r="D56" s="238"/>
      <c r="E56" s="238"/>
    </row>
    <row r="57" spans="1:5">
      <c r="A57" s="232">
        <v>25</v>
      </c>
      <c r="B57" s="241" t="s">
        <v>193</v>
      </c>
      <c r="C57" s="218" t="s">
        <v>194</v>
      </c>
      <c r="D57" s="238"/>
      <c r="E57" s="238"/>
    </row>
    <row r="58" spans="1:5">
      <c r="A58" s="232">
        <v>26</v>
      </c>
      <c r="B58" s="231" t="s">
        <v>195</v>
      </c>
      <c r="C58" s="219" t="s">
        <v>282</v>
      </c>
      <c r="D58" s="208">
        <v>1.744</v>
      </c>
      <c r="E58" s="218">
        <v>1.302</v>
      </c>
    </row>
    <row r="59" spans="1:5">
      <c r="A59" s="232">
        <v>27</v>
      </c>
      <c r="B59" s="242" t="s">
        <v>196</v>
      </c>
      <c r="C59" s="216" t="s">
        <v>252</v>
      </c>
      <c r="D59" s="243">
        <v>0.35</v>
      </c>
      <c r="E59" s="244">
        <v>0.35</v>
      </c>
    </row>
    <row r="61" spans="1:5">
      <c r="B61" s="245"/>
    </row>
    <row r="63" spans="1:5">
      <c r="B63" s="246"/>
    </row>
    <row r="66" spans="2:2">
      <c r="B66" s="245"/>
    </row>
    <row r="68" spans="2:2">
      <c r="B68" s="239"/>
    </row>
    <row r="69" spans="2:2">
      <c r="B69" s="239"/>
    </row>
    <row r="71" spans="2:2">
      <c r="B71" s="245"/>
    </row>
    <row r="73" spans="2:2">
      <c r="B73" s="245"/>
    </row>
    <row r="75" spans="2:2">
      <c r="B75" s="245"/>
    </row>
    <row r="76" spans="2:2">
      <c r="B76" s="245"/>
    </row>
    <row r="77" spans="2:2">
      <c r="B77" s="245"/>
    </row>
    <row r="78" spans="2:2">
      <c r="B78" s="245"/>
    </row>
    <row r="79" spans="2:2">
      <c r="B79" s="245"/>
    </row>
    <row r="80" spans="2:2">
      <c r="B80" s="245"/>
    </row>
    <row r="81" spans="2:2">
      <c r="B81" s="245"/>
    </row>
    <row r="82" spans="2:2">
      <c r="B82" s="245"/>
    </row>
    <row r="83" spans="2:2">
      <c r="B83" s="245"/>
    </row>
    <row r="84" spans="2:2">
      <c r="B84" s="245"/>
    </row>
    <row r="88" spans="2:2">
      <c r="B88" s="245"/>
    </row>
  </sheetData>
  <phoneticPr fontId="6" type="noConversion"/>
  <printOptions horizontalCentered="1"/>
  <pageMargins left="0.25" right="0.25" top="0.66" bottom="0.75" header="0.5" footer="0.5"/>
  <pageSetup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14"/>
  <sheetViews>
    <sheetView showGridLines="0" topLeftCell="BW1" zoomScaleNormal="100" workbookViewId="0">
      <selection activeCell="CG38" sqref="CG38"/>
    </sheetView>
  </sheetViews>
  <sheetFormatPr defaultColWidth="10.6640625" defaultRowHeight="13.2"/>
  <cols>
    <col min="1" max="1" width="29.33203125" style="2" customWidth="1"/>
    <col min="2" max="2" width="11.109375" style="2" customWidth="1"/>
    <col min="3" max="3" width="13" style="2" customWidth="1"/>
    <col min="4" max="4" width="4.6640625" style="2" customWidth="1"/>
    <col min="5" max="5" width="44.88671875" style="2" customWidth="1"/>
    <col min="6" max="8" width="11.6640625" style="2" bestFit="1" customWidth="1"/>
    <col min="9" max="9" width="3.6640625" style="2" customWidth="1"/>
    <col min="10" max="10" width="2.88671875" style="2" customWidth="1"/>
    <col min="11" max="11" width="4" style="2" customWidth="1"/>
    <col min="12" max="12" width="10.33203125" style="2" customWidth="1"/>
    <col min="13" max="13" width="9.6640625" style="2" customWidth="1"/>
    <col min="14" max="14" width="10.6640625" style="32" bestFit="1" customWidth="1"/>
    <col min="15" max="15" width="10.44140625" style="2" bestFit="1" customWidth="1"/>
    <col min="16" max="17" width="7.6640625" style="2" bestFit="1" customWidth="1"/>
    <col min="18" max="18" width="7.44140625" style="2" bestFit="1" customWidth="1"/>
    <col min="19" max="19" width="9.33203125" style="2" bestFit="1" customWidth="1"/>
    <col min="20" max="20" width="7.44140625" style="2" bestFit="1" customWidth="1"/>
    <col min="21" max="21" width="9" style="2" customWidth="1"/>
    <col min="22" max="22" width="11.44140625" style="2" customWidth="1"/>
    <col min="23" max="23" width="10.109375" style="2" customWidth="1"/>
    <col min="24" max="24" width="6.88671875" style="2" customWidth="1"/>
    <col min="25" max="26" width="9.109375" style="2" bestFit="1" customWidth="1"/>
    <col min="27" max="28" width="10.6640625" style="2" bestFit="1" customWidth="1"/>
    <col min="29" max="29" width="1" style="2" customWidth="1"/>
    <col min="30" max="30" width="2.88671875" style="2" customWidth="1"/>
    <col min="31" max="31" width="7.88671875" style="2" customWidth="1"/>
    <col min="32" max="32" width="12.6640625" style="2" customWidth="1"/>
    <col min="33" max="33" width="10.6640625" style="2" bestFit="1" customWidth="1"/>
    <col min="34" max="34" width="11.6640625" style="2" bestFit="1" customWidth="1"/>
    <col min="35" max="35" width="2.6640625" style="2" customWidth="1"/>
    <col min="36" max="37" width="9.109375" style="2" bestFit="1" customWidth="1"/>
    <col min="38" max="38" width="10.6640625" style="2" bestFit="1" customWidth="1"/>
    <col min="39" max="39" width="2.6640625" style="2" customWidth="1"/>
    <col min="40" max="40" width="10.6640625" style="2" bestFit="1" customWidth="1"/>
    <col min="41" max="41" width="3.88671875" style="2" customWidth="1"/>
    <col min="42" max="42" width="3.33203125" style="2" customWidth="1"/>
    <col min="43" max="43" width="7.88671875" style="2" customWidth="1"/>
    <col min="44" max="44" width="8.44140625" style="2" bestFit="1" customWidth="1"/>
    <col min="45" max="45" width="10.88671875" style="2" customWidth="1"/>
    <col min="46" max="47" width="8.33203125" style="2" bestFit="1" customWidth="1"/>
    <col min="48" max="49" width="12.5546875" style="2" bestFit="1" customWidth="1"/>
    <col min="50" max="50" width="11.109375" style="2" hidden="1" customWidth="1"/>
    <col min="51" max="51" width="2.6640625" style="2" hidden="1" customWidth="1"/>
    <col min="52" max="52" width="11.88671875" style="8" customWidth="1"/>
    <col min="53" max="53" width="2.6640625" style="2" customWidth="1"/>
    <col min="54" max="54" width="9.6640625" style="2" bestFit="1" customWidth="1"/>
    <col min="55" max="55" width="11.109375" style="2" bestFit="1" customWidth="1"/>
    <col min="56" max="56" width="10.6640625" style="2" bestFit="1" customWidth="1"/>
    <col min="57" max="57" width="11.6640625" style="2" bestFit="1" customWidth="1"/>
    <col min="58" max="58" width="3.6640625" style="2" customWidth="1"/>
    <col min="59" max="59" width="2.88671875" style="2" customWidth="1"/>
    <col min="60" max="60" width="9.88671875" style="2" customWidth="1"/>
    <col min="61" max="61" width="9.88671875" style="2" bestFit="1" customWidth="1"/>
    <col min="62" max="62" width="10.6640625" style="2" bestFit="1" customWidth="1"/>
    <col min="63" max="64" width="8.109375" style="2" bestFit="1" customWidth="1"/>
    <col min="65" max="65" width="10.109375" style="2" bestFit="1" customWidth="1"/>
    <col min="66" max="66" width="8.33203125" style="2" bestFit="1" customWidth="1"/>
    <col min="67" max="67" width="10.88671875" style="2" hidden="1" customWidth="1"/>
    <col min="68" max="68" width="11.6640625" style="2" bestFit="1" customWidth="1"/>
    <col min="69" max="69" width="2.6640625" style="2" customWidth="1"/>
    <col min="70" max="70" width="9.88671875" style="2" bestFit="1" customWidth="1"/>
    <col min="71" max="71" width="2.6640625" style="2" customWidth="1"/>
    <col min="72" max="72" width="11.6640625" style="2" bestFit="1" customWidth="1"/>
    <col min="73" max="73" width="3.6640625" style="2" customWidth="1"/>
    <col min="74" max="74" width="3.5546875" style="2" customWidth="1"/>
    <col min="75" max="75" width="7.33203125" style="2" customWidth="1"/>
    <col min="76" max="76" width="9.88671875" style="2" bestFit="1" customWidth="1"/>
    <col min="77" max="77" width="10.6640625" style="2" bestFit="1" customWidth="1"/>
    <col min="78" max="78" width="8.33203125" style="2" bestFit="1" customWidth="1"/>
    <col min="79" max="79" width="11.6640625" style="2" bestFit="1" customWidth="1"/>
    <col min="80" max="80" width="2.6640625" style="2" customWidth="1"/>
    <col min="81" max="81" width="9.6640625" style="2" bestFit="1" customWidth="1"/>
    <col min="82" max="82" width="11.109375" style="2" bestFit="1" customWidth="1"/>
    <col min="83" max="83" width="10.6640625" style="2" bestFit="1" customWidth="1"/>
    <col min="84" max="84" width="2.6640625" style="2" customWidth="1"/>
    <col min="85" max="85" width="10.6640625" style="2" bestFit="1" customWidth="1"/>
    <col min="86" max="86" width="8.6640625" style="2" customWidth="1"/>
    <col min="87" max="88" width="10.6640625" style="2" customWidth="1"/>
    <col min="89" max="89" width="1.6640625" style="2" customWidth="1"/>
    <col min="90" max="93" width="8.6640625" style="2" customWidth="1"/>
    <col min="94" max="94" width="1.6640625" style="2" customWidth="1"/>
    <col min="95" max="95" width="9.6640625" style="2" customWidth="1"/>
    <col min="96" max="96" width="2.6640625" style="2" customWidth="1"/>
    <col min="97" max="97" width="10.6640625" style="2" customWidth="1"/>
    <col min="98" max="98" width="8.6640625" style="2" customWidth="1"/>
    <col min="99" max="99" width="9.6640625" style="2" customWidth="1"/>
    <col min="100" max="246" width="8.6640625" style="2" customWidth="1"/>
    <col min="247" max="16384" width="10.6640625" style="2"/>
  </cols>
  <sheetData>
    <row r="1" spans="1:106">
      <c r="A1" s="55" t="s">
        <v>109</v>
      </c>
      <c r="B1" s="55"/>
      <c r="C1" s="56"/>
      <c r="D1" s="55"/>
      <c r="E1" s="56"/>
      <c r="F1" s="55"/>
      <c r="G1" s="55"/>
      <c r="H1" s="73"/>
      <c r="K1" s="1" t="s">
        <v>1</v>
      </c>
      <c r="M1" s="4"/>
      <c r="N1" s="2"/>
      <c r="R1" s="32"/>
      <c r="T1" s="3"/>
      <c r="U1" s="3"/>
      <c r="AD1" s="1" t="s">
        <v>2</v>
      </c>
      <c r="AF1" s="4"/>
      <c r="AG1" s="3"/>
      <c r="AP1" s="1" t="s">
        <v>3</v>
      </c>
      <c r="AR1" s="4"/>
      <c r="AZ1" s="2"/>
      <c r="BC1" s="5"/>
      <c r="BG1" s="1" t="s">
        <v>4</v>
      </c>
      <c r="BJ1" s="3"/>
      <c r="BV1" s="1" t="s">
        <v>215</v>
      </c>
      <c r="BY1" s="3"/>
    </row>
    <row r="2" spans="1:106">
      <c r="A2" s="56" t="s">
        <v>108</v>
      </c>
      <c r="B2" s="55"/>
      <c r="C2" s="55"/>
      <c r="D2" s="55"/>
      <c r="E2" s="55"/>
      <c r="F2" s="55"/>
      <c r="G2" s="55"/>
      <c r="H2" s="73"/>
      <c r="K2" s="1" t="s">
        <v>5</v>
      </c>
      <c r="N2" s="2"/>
      <c r="R2" s="32"/>
      <c r="T2" s="3"/>
      <c r="U2" s="3"/>
      <c r="AD2" s="1" t="s">
        <v>6</v>
      </c>
      <c r="AG2" s="3"/>
      <c r="AP2" s="1" t="s">
        <v>7</v>
      </c>
      <c r="AZ2" s="2"/>
      <c r="BC2" s="5"/>
      <c r="BD2" s="5"/>
      <c r="BG2" s="1" t="s">
        <v>8</v>
      </c>
      <c r="BJ2" s="3"/>
      <c r="BO2" s="3"/>
      <c r="BV2" s="1" t="s">
        <v>216</v>
      </c>
      <c r="BY2" s="3"/>
    </row>
    <row r="3" spans="1:106">
      <c r="B3" s="142"/>
      <c r="C3" s="142"/>
      <c r="N3" s="2"/>
      <c r="R3" s="32"/>
      <c r="AZ3" s="2"/>
      <c r="BD3" s="5"/>
      <c r="BG3" s="8"/>
      <c r="BO3" s="3"/>
      <c r="BV3" s="8"/>
    </row>
    <row r="4" spans="1:106">
      <c r="A4" s="6" t="s">
        <v>9</v>
      </c>
      <c r="B4" s="7" t="s">
        <v>94</v>
      </c>
      <c r="K4" s="3" t="s">
        <v>9</v>
      </c>
      <c r="M4" s="10" t="str">
        <f>B4</f>
        <v>Montana-Dakota Utilities Co.</v>
      </c>
      <c r="N4" s="2"/>
      <c r="R4" s="32"/>
      <c r="S4" s="166"/>
      <c r="AD4" s="3" t="s">
        <v>9</v>
      </c>
      <c r="AF4" s="10" t="str">
        <f>B4</f>
        <v>Montana-Dakota Utilities Co.</v>
      </c>
      <c r="AP4" s="3" t="s">
        <v>11</v>
      </c>
      <c r="AR4" s="10" t="str">
        <f>AF4</f>
        <v>Montana-Dakota Utilities Co.</v>
      </c>
      <c r="AZ4" s="2"/>
      <c r="BH4" s="138" t="s">
        <v>11</v>
      </c>
      <c r="BI4" s="10" t="str">
        <f>AR4</f>
        <v>Montana-Dakota Utilities Co.</v>
      </c>
      <c r="BW4" s="138" t="s">
        <v>11</v>
      </c>
      <c r="BX4" s="10" t="str">
        <f>BI4</f>
        <v>Montana-Dakota Utilities Co.</v>
      </c>
    </row>
    <row r="5" spans="1:106">
      <c r="A5" s="6" t="s">
        <v>10</v>
      </c>
      <c r="B5" s="9" t="s">
        <v>286</v>
      </c>
      <c r="K5" s="3" t="s">
        <v>10</v>
      </c>
      <c r="M5" s="10" t="str">
        <f>$B$5</f>
        <v>Total South Dakota Program</v>
      </c>
      <c r="N5" s="2"/>
      <c r="R5" s="32"/>
      <c r="AD5" s="3" t="s">
        <v>10</v>
      </c>
      <c r="AF5" s="10" t="str">
        <f>$B$5</f>
        <v>Total South Dakota Program</v>
      </c>
      <c r="AP5" s="3" t="s">
        <v>12</v>
      </c>
      <c r="AR5" s="10" t="str">
        <f>$B$5</f>
        <v>Total South Dakota Program</v>
      </c>
      <c r="AZ5" s="2"/>
      <c r="BH5" s="138" t="s">
        <v>12</v>
      </c>
      <c r="BI5" s="10" t="str">
        <f>$B$5</f>
        <v>Total South Dakota Program</v>
      </c>
      <c r="BW5" s="138" t="s">
        <v>12</v>
      </c>
      <c r="BX5" s="10" t="str">
        <f>$B$5</f>
        <v>Total South Dakota Program</v>
      </c>
    </row>
    <row r="6" spans="1:106">
      <c r="A6" s="6" t="s">
        <v>200</v>
      </c>
      <c r="B6" s="312" t="s">
        <v>346</v>
      </c>
      <c r="N6" s="2"/>
      <c r="R6" s="32"/>
      <c r="AZ6" s="2"/>
      <c r="BG6" s="8"/>
      <c r="BV6" s="8"/>
    </row>
    <row r="7" spans="1:106">
      <c r="M7" s="12"/>
      <c r="N7" s="47" t="s">
        <v>14</v>
      </c>
      <c r="O7" s="48"/>
      <c r="P7" s="48"/>
      <c r="Q7" s="48"/>
      <c r="R7" s="114"/>
      <c r="S7" s="48"/>
      <c r="T7" s="48"/>
      <c r="U7" s="48"/>
      <c r="V7" s="48"/>
      <c r="W7" s="12"/>
      <c r="X7" s="88" t="s">
        <v>15</v>
      </c>
      <c r="Y7" s="88"/>
      <c r="Z7" s="112"/>
      <c r="AA7" s="113"/>
      <c r="AB7" s="16"/>
      <c r="AC7" s="12"/>
      <c r="AD7" s="12"/>
      <c r="AE7" s="12"/>
      <c r="AF7" s="47" t="s">
        <v>14</v>
      </c>
      <c r="AG7" s="111"/>
      <c r="AH7" s="111"/>
      <c r="AI7" s="12"/>
      <c r="AJ7" s="88" t="s">
        <v>15</v>
      </c>
      <c r="AK7" s="88"/>
      <c r="AL7" s="88"/>
      <c r="AM7" s="12"/>
      <c r="AN7" s="74" t="s">
        <v>81</v>
      </c>
      <c r="AO7" s="12"/>
      <c r="AP7" s="12"/>
      <c r="AQ7" s="12"/>
      <c r="AR7" s="47" t="s">
        <v>14</v>
      </c>
      <c r="AS7" s="48"/>
      <c r="AT7" s="48"/>
      <c r="AU7" s="48"/>
      <c r="AV7" s="48"/>
      <c r="AW7" s="48"/>
      <c r="AX7" s="48"/>
      <c r="AY7" s="48"/>
      <c r="AZ7" s="48"/>
      <c r="BA7" s="12"/>
      <c r="BB7" s="88" t="s">
        <v>15</v>
      </c>
      <c r="BC7" s="88"/>
      <c r="BD7" s="89"/>
      <c r="BE7" s="75" t="s">
        <v>81</v>
      </c>
      <c r="BF7" s="12"/>
      <c r="BG7" s="52"/>
      <c r="BH7" s="12"/>
      <c r="BI7" s="47" t="s">
        <v>14</v>
      </c>
      <c r="BJ7" s="115"/>
      <c r="BK7" s="115"/>
      <c r="BL7" s="115"/>
      <c r="BM7" s="115"/>
      <c r="BN7" s="115"/>
      <c r="BO7" s="115"/>
      <c r="BP7" s="115"/>
      <c r="BQ7" s="12"/>
      <c r="BR7" s="126" t="s">
        <v>15</v>
      </c>
      <c r="BS7" s="125" t="s">
        <v>81</v>
      </c>
      <c r="BT7" s="12"/>
      <c r="BU7" s="12"/>
      <c r="BV7" s="52"/>
      <c r="BW7" s="12"/>
      <c r="BX7" s="47" t="s">
        <v>14</v>
      </c>
      <c r="BY7" s="115"/>
      <c r="BZ7" s="115"/>
      <c r="CA7" s="115"/>
      <c r="CB7" s="12"/>
      <c r="CC7" s="88" t="s">
        <v>15</v>
      </c>
      <c r="CD7" s="88"/>
      <c r="CE7" s="88"/>
      <c r="CF7" s="125" t="s">
        <v>81</v>
      </c>
      <c r="CG7" s="12"/>
    </row>
    <row r="8" spans="1:106">
      <c r="A8" s="143" t="s">
        <v>13</v>
      </c>
      <c r="B8" s="143"/>
      <c r="C8" s="13"/>
      <c r="E8" s="143"/>
      <c r="F8" s="154">
        <v>2015</v>
      </c>
      <c r="G8" s="16"/>
      <c r="H8" s="167"/>
      <c r="L8" s="12"/>
      <c r="M8" s="144"/>
      <c r="N8" s="144"/>
      <c r="O8" s="12"/>
      <c r="Q8" s="144"/>
      <c r="R8" s="70"/>
      <c r="S8" s="144"/>
      <c r="T8" s="144"/>
      <c r="U8" s="144"/>
      <c r="V8" s="144"/>
      <c r="W8" s="144"/>
      <c r="X8" s="144"/>
      <c r="Z8" s="144"/>
      <c r="AA8" s="16"/>
      <c r="AB8" s="16" t="s">
        <v>17</v>
      </c>
      <c r="AC8" s="12"/>
      <c r="AD8" s="12"/>
      <c r="AE8" s="12"/>
      <c r="AF8" s="144"/>
      <c r="AG8" s="144"/>
      <c r="AH8" s="144"/>
      <c r="AI8" s="12"/>
      <c r="AL8" s="12"/>
      <c r="AM8" s="144"/>
      <c r="AN8" s="16" t="s">
        <v>17</v>
      </c>
      <c r="AO8" s="12"/>
      <c r="AP8" s="12"/>
      <c r="AQ8" s="12"/>
      <c r="AR8" s="12"/>
      <c r="AS8" s="12"/>
      <c r="AT8" s="16" t="s">
        <v>24</v>
      </c>
      <c r="AU8" s="144"/>
      <c r="AV8" s="8"/>
      <c r="AW8" s="144"/>
      <c r="AX8" s="145"/>
      <c r="AY8" s="146"/>
      <c r="AZ8" s="144"/>
      <c r="BA8" s="144"/>
      <c r="BB8" s="144"/>
      <c r="BC8" s="144"/>
      <c r="BD8" s="144"/>
      <c r="BE8" s="16" t="s">
        <v>17</v>
      </c>
      <c r="BF8" s="12"/>
      <c r="BG8" s="52"/>
      <c r="BH8" s="16"/>
      <c r="BI8" s="16"/>
      <c r="BJ8" s="12"/>
      <c r="BK8" s="12"/>
      <c r="BL8" s="12"/>
      <c r="BN8" s="12"/>
      <c r="BO8" s="12"/>
      <c r="BP8" s="12"/>
      <c r="BQ8" s="12"/>
      <c r="BR8" s="12"/>
      <c r="BS8" s="12"/>
      <c r="BT8" s="16" t="s">
        <v>17</v>
      </c>
      <c r="BU8" s="12"/>
      <c r="BV8" s="52"/>
      <c r="BW8" s="16"/>
      <c r="BX8" s="16"/>
      <c r="BY8" s="12"/>
      <c r="BZ8" s="12"/>
      <c r="CA8" s="12"/>
      <c r="CB8" s="12"/>
      <c r="CC8" s="12"/>
      <c r="CD8" s="12"/>
      <c r="CE8" s="12"/>
      <c r="CF8" s="12"/>
      <c r="CG8" s="16" t="s">
        <v>17</v>
      </c>
      <c r="DA8" s="147"/>
      <c r="DB8" s="147"/>
    </row>
    <row r="9" spans="1:106">
      <c r="A9" s="3"/>
      <c r="E9" s="3"/>
      <c r="G9" s="12"/>
      <c r="H9" s="12"/>
      <c r="L9" s="12"/>
      <c r="M9" s="16" t="s">
        <v>20</v>
      </c>
      <c r="N9" s="16" t="s">
        <v>23</v>
      </c>
      <c r="O9" s="52" t="s">
        <v>23</v>
      </c>
      <c r="P9" s="148" t="s">
        <v>21</v>
      </c>
      <c r="Q9" s="148" t="s">
        <v>21</v>
      </c>
      <c r="R9" s="149" t="s">
        <v>20</v>
      </c>
      <c r="S9" s="150" t="s">
        <v>97</v>
      </c>
      <c r="T9" s="167" t="s">
        <v>253</v>
      </c>
      <c r="U9" s="149" t="s">
        <v>20</v>
      </c>
      <c r="V9" s="16"/>
      <c r="W9" s="150" t="s">
        <v>96</v>
      </c>
      <c r="X9" s="12"/>
      <c r="Y9" s="8" t="s">
        <v>35</v>
      </c>
      <c r="Z9" s="16"/>
      <c r="AA9" s="16" t="s">
        <v>20</v>
      </c>
      <c r="AB9" s="16" t="s">
        <v>14</v>
      </c>
      <c r="AC9" s="12"/>
      <c r="AD9" s="12"/>
      <c r="AE9" s="12"/>
      <c r="AF9" s="150" t="s">
        <v>20</v>
      </c>
      <c r="AG9" s="149" t="s">
        <v>20</v>
      </c>
      <c r="AH9" s="150" t="s">
        <v>17</v>
      </c>
      <c r="AI9" s="12"/>
      <c r="AJ9" s="8" t="s">
        <v>35</v>
      </c>
      <c r="AK9" s="16"/>
      <c r="AL9" s="16" t="s">
        <v>22</v>
      </c>
      <c r="AM9" s="12"/>
      <c r="AN9" s="16" t="s">
        <v>14</v>
      </c>
      <c r="AO9" s="12"/>
      <c r="AP9" s="12"/>
      <c r="AQ9" s="12"/>
      <c r="AR9" s="150" t="s">
        <v>20</v>
      </c>
      <c r="AS9" s="16" t="s">
        <v>20</v>
      </c>
      <c r="AT9" s="16" t="s">
        <v>36</v>
      </c>
      <c r="AU9" s="16" t="s">
        <v>24</v>
      </c>
      <c r="AV9" s="148" t="s">
        <v>37</v>
      </c>
      <c r="AW9" s="148" t="s">
        <v>37</v>
      </c>
      <c r="AX9" s="145"/>
      <c r="AY9" s="99"/>
      <c r="AZ9" s="16" t="s">
        <v>17</v>
      </c>
      <c r="BA9" s="12"/>
      <c r="BB9" s="16" t="s">
        <v>22</v>
      </c>
      <c r="BC9" s="16" t="s">
        <v>39</v>
      </c>
      <c r="BD9" s="52" t="s">
        <v>17</v>
      </c>
      <c r="BE9" s="16" t="s">
        <v>14</v>
      </c>
      <c r="BF9" s="12"/>
      <c r="BG9" s="52"/>
      <c r="BH9" s="16"/>
      <c r="BI9" s="16"/>
      <c r="BJ9" s="16" t="s">
        <v>20</v>
      </c>
      <c r="BK9" s="12"/>
      <c r="BL9" s="16" t="s">
        <v>23</v>
      </c>
      <c r="BM9" s="8" t="s">
        <v>24</v>
      </c>
      <c r="BN9" s="52" t="s">
        <v>24</v>
      </c>
      <c r="BO9" s="52"/>
      <c r="BP9" s="16" t="s">
        <v>20</v>
      </c>
      <c r="BQ9" s="12"/>
      <c r="BR9" s="16" t="s">
        <v>26</v>
      </c>
      <c r="BS9" s="52"/>
      <c r="BT9" s="16" t="s">
        <v>14</v>
      </c>
      <c r="BU9" s="12"/>
      <c r="BV9" s="52"/>
      <c r="BW9" s="16"/>
      <c r="BX9" s="16" t="s">
        <v>20</v>
      </c>
      <c r="BY9" s="16" t="s">
        <v>20</v>
      </c>
      <c r="BZ9" s="16" t="s">
        <v>24</v>
      </c>
      <c r="CA9" s="16" t="s">
        <v>20</v>
      </c>
      <c r="CB9" s="12"/>
      <c r="CC9" s="16" t="s">
        <v>22</v>
      </c>
      <c r="CD9" s="16" t="s">
        <v>39</v>
      </c>
      <c r="CE9" s="167"/>
      <c r="CF9" s="52"/>
      <c r="CG9" s="16" t="s">
        <v>14</v>
      </c>
    </row>
    <row r="10" spans="1:106">
      <c r="A10" s="3" t="s">
        <v>104</v>
      </c>
      <c r="C10" s="14"/>
      <c r="D10" s="15"/>
      <c r="E10" s="3" t="s">
        <v>16</v>
      </c>
      <c r="G10" s="12"/>
      <c r="H10" s="12"/>
      <c r="J10" s="19"/>
      <c r="L10" s="12"/>
      <c r="M10" s="16" t="s">
        <v>28</v>
      </c>
      <c r="N10" s="16" t="s">
        <v>29</v>
      </c>
      <c r="O10" s="52" t="s">
        <v>29</v>
      </c>
      <c r="P10" s="148" t="s">
        <v>30</v>
      </c>
      <c r="Q10" s="148" t="s">
        <v>30</v>
      </c>
      <c r="R10" s="149" t="s">
        <v>36</v>
      </c>
      <c r="S10" s="16" t="s">
        <v>31</v>
      </c>
      <c r="T10" s="167" t="s">
        <v>38</v>
      </c>
      <c r="U10" s="149" t="s">
        <v>31</v>
      </c>
      <c r="V10" s="16" t="s">
        <v>20</v>
      </c>
      <c r="W10" s="16" t="s">
        <v>118</v>
      </c>
      <c r="X10" s="16" t="s">
        <v>92</v>
      </c>
      <c r="Y10" s="8" t="s">
        <v>144</v>
      </c>
      <c r="Z10" s="16" t="s">
        <v>117</v>
      </c>
      <c r="AA10" s="16" t="s">
        <v>35</v>
      </c>
      <c r="AB10" s="16" t="s">
        <v>34</v>
      </c>
      <c r="AC10" s="12"/>
      <c r="AD10" s="12"/>
      <c r="AE10" s="12"/>
      <c r="AF10" s="150" t="s">
        <v>36</v>
      </c>
      <c r="AG10" s="149" t="s">
        <v>31</v>
      </c>
      <c r="AH10" s="150" t="s">
        <v>20</v>
      </c>
      <c r="AI10" s="12"/>
      <c r="AJ10" s="8" t="s">
        <v>144</v>
      </c>
      <c r="AK10" s="16" t="s">
        <v>117</v>
      </c>
      <c r="AL10" s="16" t="s">
        <v>35</v>
      </c>
      <c r="AM10" s="12"/>
      <c r="AN10" s="16" t="s">
        <v>34</v>
      </c>
      <c r="AO10" s="12"/>
      <c r="AP10" s="12"/>
      <c r="AQ10" s="12"/>
      <c r="AR10" s="16" t="s">
        <v>28</v>
      </c>
      <c r="AS10" s="16" t="s">
        <v>131</v>
      </c>
      <c r="AT10" s="16" t="s">
        <v>38</v>
      </c>
      <c r="AU10" s="16" t="s">
        <v>36</v>
      </c>
      <c r="AV10" s="52" t="s">
        <v>99</v>
      </c>
      <c r="AW10" s="151" t="s">
        <v>99</v>
      </c>
      <c r="AX10" s="145"/>
      <c r="AY10" s="152"/>
      <c r="AZ10" s="16" t="s">
        <v>20</v>
      </c>
      <c r="BA10" s="12"/>
      <c r="BB10" s="16" t="s">
        <v>35</v>
      </c>
      <c r="BC10" s="150" t="s">
        <v>100</v>
      </c>
      <c r="BD10" s="52" t="s">
        <v>20</v>
      </c>
      <c r="BE10" s="16" t="s">
        <v>34</v>
      </c>
      <c r="BF10" s="12"/>
      <c r="BG10" s="52"/>
      <c r="BH10" s="16"/>
      <c r="BI10" s="16" t="s">
        <v>25</v>
      </c>
      <c r="BJ10" s="16" t="s">
        <v>28</v>
      </c>
      <c r="BK10" s="16" t="s">
        <v>32</v>
      </c>
      <c r="BL10" s="16" t="s">
        <v>33</v>
      </c>
      <c r="BM10" s="8" t="s">
        <v>136</v>
      </c>
      <c r="BN10" s="16" t="s">
        <v>36</v>
      </c>
      <c r="BO10" s="16"/>
      <c r="BP10" s="16" t="s">
        <v>17</v>
      </c>
      <c r="BQ10" s="12"/>
      <c r="BR10" s="16" t="s">
        <v>112</v>
      </c>
      <c r="BS10" s="16"/>
      <c r="BT10" s="16" t="s">
        <v>34</v>
      </c>
      <c r="BU10" s="12"/>
      <c r="BV10" s="52"/>
      <c r="BW10" s="16"/>
      <c r="BX10" s="16" t="s">
        <v>28</v>
      </c>
      <c r="BY10" s="167" t="s">
        <v>31</v>
      </c>
      <c r="BZ10" s="16" t="s">
        <v>36</v>
      </c>
      <c r="CA10" s="16" t="s">
        <v>17</v>
      </c>
      <c r="CB10" s="12"/>
      <c r="CC10" s="16" t="s">
        <v>35</v>
      </c>
      <c r="CD10" s="150" t="s">
        <v>100</v>
      </c>
      <c r="CE10" s="167" t="s">
        <v>20</v>
      </c>
      <c r="CF10" s="16"/>
      <c r="CG10" s="16" t="s">
        <v>34</v>
      </c>
    </row>
    <row r="11" spans="1:106">
      <c r="A11" s="3" t="s">
        <v>18</v>
      </c>
      <c r="C11" s="17"/>
      <c r="E11" s="185" t="s">
        <v>357</v>
      </c>
      <c r="F11" s="195">
        <f>+'Total Program Inputs'!K22</f>
        <v>7923</v>
      </c>
      <c r="G11" s="538"/>
      <c r="H11" s="538"/>
      <c r="J11" s="6" t="s">
        <v>42</v>
      </c>
      <c r="L11" s="12"/>
      <c r="M11" s="16" t="s">
        <v>44</v>
      </c>
      <c r="N11" s="52" t="s">
        <v>107</v>
      </c>
      <c r="O11" s="52" t="s">
        <v>38</v>
      </c>
      <c r="P11" s="148" t="s">
        <v>107</v>
      </c>
      <c r="Q11" s="148" t="s">
        <v>38</v>
      </c>
      <c r="R11" s="149" t="s">
        <v>38</v>
      </c>
      <c r="S11" s="16" t="s">
        <v>44</v>
      </c>
      <c r="T11" s="198" t="s">
        <v>254</v>
      </c>
      <c r="U11" s="149" t="s">
        <v>38</v>
      </c>
      <c r="V11" s="16" t="s">
        <v>38</v>
      </c>
      <c r="W11" s="16" t="s">
        <v>119</v>
      </c>
      <c r="X11" s="16" t="s">
        <v>93</v>
      </c>
      <c r="Y11" s="8" t="s">
        <v>15</v>
      </c>
      <c r="Z11" s="16" t="s">
        <v>15</v>
      </c>
      <c r="AA11" s="16" t="s">
        <v>15</v>
      </c>
      <c r="AB11" s="16" t="s">
        <v>15</v>
      </c>
      <c r="AC11" s="12"/>
      <c r="AD11" s="12"/>
      <c r="AF11" s="16" t="s">
        <v>38</v>
      </c>
      <c r="AG11" s="149" t="s">
        <v>38</v>
      </c>
      <c r="AH11" s="149" t="s">
        <v>38</v>
      </c>
      <c r="AI11" s="12"/>
      <c r="AJ11" s="8" t="s">
        <v>15</v>
      </c>
      <c r="AK11" s="16" t="s">
        <v>15</v>
      </c>
      <c r="AL11" s="16" t="s">
        <v>15</v>
      </c>
      <c r="AM11" s="12"/>
      <c r="AN11" s="16" t="s">
        <v>15</v>
      </c>
      <c r="AO11" s="12"/>
      <c r="AP11" s="12"/>
      <c r="AR11" s="16" t="s">
        <v>38</v>
      </c>
      <c r="AS11" s="16" t="s">
        <v>38</v>
      </c>
      <c r="AT11" s="8" t="s">
        <v>133</v>
      </c>
      <c r="AU11" s="16" t="s">
        <v>38</v>
      </c>
      <c r="AV11" s="153" t="s">
        <v>132</v>
      </c>
      <c r="AW11" s="153" t="s">
        <v>38</v>
      </c>
      <c r="AX11" s="145"/>
      <c r="AY11" s="152"/>
      <c r="AZ11" s="150" t="s">
        <v>38</v>
      </c>
      <c r="BA11" s="12"/>
      <c r="BB11" s="16" t="s">
        <v>15</v>
      </c>
      <c r="BC11" s="110" t="s">
        <v>101</v>
      </c>
      <c r="BD11" s="151" t="s">
        <v>15</v>
      </c>
      <c r="BE11" s="16" t="s">
        <v>15</v>
      </c>
      <c r="BF11" s="12"/>
      <c r="BH11" s="16"/>
      <c r="BI11" s="16" t="s">
        <v>46</v>
      </c>
      <c r="BJ11" s="16" t="s">
        <v>44</v>
      </c>
      <c r="BK11" s="16" t="s">
        <v>45</v>
      </c>
      <c r="BL11" s="16" t="s">
        <v>38</v>
      </c>
      <c r="BM11" s="8" t="s">
        <v>0</v>
      </c>
      <c r="BN11" s="16" t="s">
        <v>38</v>
      </c>
      <c r="BO11" s="16"/>
      <c r="BP11" s="16" t="s">
        <v>14</v>
      </c>
      <c r="BQ11" s="12"/>
      <c r="BR11" s="16" t="s">
        <v>15</v>
      </c>
      <c r="BS11" s="16"/>
      <c r="BT11" s="16" t="s">
        <v>15</v>
      </c>
      <c r="BU11" s="12"/>
      <c r="BW11" s="16"/>
      <c r="BX11" s="167" t="s">
        <v>38</v>
      </c>
      <c r="BY11" s="167" t="s">
        <v>38</v>
      </c>
      <c r="BZ11" s="16" t="s">
        <v>38</v>
      </c>
      <c r="CA11" s="16" t="s">
        <v>14</v>
      </c>
      <c r="CB11" s="12"/>
      <c r="CC11" s="16" t="s">
        <v>15</v>
      </c>
      <c r="CD11" s="110" t="s">
        <v>101</v>
      </c>
      <c r="CE11" s="16" t="s">
        <v>15</v>
      </c>
      <c r="CF11" s="16"/>
      <c r="CG11" s="16" t="s">
        <v>15</v>
      </c>
    </row>
    <row r="12" spans="1:106">
      <c r="A12" s="3"/>
      <c r="C12" s="17"/>
      <c r="E12" s="3" t="s">
        <v>27</v>
      </c>
      <c r="F12" s="320">
        <f>+'Total Program Inputs'!G22</f>
        <v>106640</v>
      </c>
      <c r="G12" s="539"/>
      <c r="H12" s="539"/>
      <c r="J12" s="4"/>
      <c r="L12" s="154" t="s">
        <v>43</v>
      </c>
      <c r="M12" s="155" t="s">
        <v>48</v>
      </c>
      <c r="N12" s="155" t="s">
        <v>49</v>
      </c>
      <c r="O12" s="155" t="s">
        <v>50</v>
      </c>
      <c r="P12" s="155" t="s">
        <v>51</v>
      </c>
      <c r="Q12" s="155" t="s">
        <v>52</v>
      </c>
      <c r="R12" s="155" t="s">
        <v>53</v>
      </c>
      <c r="S12" s="155" t="s">
        <v>54</v>
      </c>
      <c r="T12" s="155" t="s">
        <v>55</v>
      </c>
      <c r="U12" s="155" t="s">
        <v>56</v>
      </c>
      <c r="V12" s="155" t="s">
        <v>57</v>
      </c>
      <c r="W12" s="155" t="s">
        <v>58</v>
      </c>
      <c r="X12" s="155" t="s">
        <v>59</v>
      </c>
      <c r="Y12" s="155" t="s">
        <v>60</v>
      </c>
      <c r="Z12" s="155" t="s">
        <v>61</v>
      </c>
      <c r="AA12" s="155" t="s">
        <v>137</v>
      </c>
      <c r="AB12" s="155" t="s">
        <v>145</v>
      </c>
      <c r="AE12" s="154" t="s">
        <v>43</v>
      </c>
      <c r="AF12" s="155" t="s">
        <v>48</v>
      </c>
      <c r="AG12" s="155" t="s">
        <v>49</v>
      </c>
      <c r="AH12" s="155" t="s">
        <v>50</v>
      </c>
      <c r="AJ12" s="155" t="s">
        <v>51</v>
      </c>
      <c r="AK12" s="155" t="s">
        <v>52</v>
      </c>
      <c r="AL12" s="155" t="s">
        <v>53</v>
      </c>
      <c r="AN12" s="155" t="s">
        <v>54</v>
      </c>
      <c r="AQ12" s="154" t="s">
        <v>43</v>
      </c>
      <c r="AR12" s="155" t="s">
        <v>48</v>
      </c>
      <c r="AS12" s="155" t="s">
        <v>49</v>
      </c>
      <c r="AT12" s="155" t="s">
        <v>50</v>
      </c>
      <c r="AU12" s="155" t="s">
        <v>51</v>
      </c>
      <c r="AV12" s="155" t="s">
        <v>52</v>
      </c>
      <c r="AW12" s="155" t="s">
        <v>53</v>
      </c>
      <c r="AX12" s="156"/>
      <c r="AY12" s="156"/>
      <c r="AZ12" s="155" t="s">
        <v>54</v>
      </c>
      <c r="BA12" s="12"/>
      <c r="BB12" s="155" t="s">
        <v>55</v>
      </c>
      <c r="BC12" s="155" t="s">
        <v>56</v>
      </c>
      <c r="BD12" s="155" t="s">
        <v>57</v>
      </c>
      <c r="BE12" s="155" t="s">
        <v>58</v>
      </c>
      <c r="BH12" s="154" t="s">
        <v>43</v>
      </c>
      <c r="BI12" s="155" t="s">
        <v>48</v>
      </c>
      <c r="BJ12" s="155" t="s">
        <v>49</v>
      </c>
      <c r="BK12" s="155" t="s">
        <v>50</v>
      </c>
      <c r="BL12" s="155" t="s">
        <v>51</v>
      </c>
      <c r="BM12" s="155" t="s">
        <v>52</v>
      </c>
      <c r="BN12" s="155" t="s">
        <v>53</v>
      </c>
      <c r="BO12" s="155"/>
      <c r="BP12" s="155" t="s">
        <v>54</v>
      </c>
      <c r="BR12" s="155" t="s">
        <v>55</v>
      </c>
      <c r="BS12" s="52"/>
      <c r="BT12" s="155" t="s">
        <v>56</v>
      </c>
      <c r="BW12" s="154" t="s">
        <v>43</v>
      </c>
      <c r="BX12" s="155" t="s">
        <v>48</v>
      </c>
      <c r="BY12" s="155" t="s">
        <v>49</v>
      </c>
      <c r="BZ12" s="155" t="s">
        <v>50</v>
      </c>
      <c r="CA12" s="170" t="s">
        <v>51</v>
      </c>
      <c r="CC12" s="170" t="s">
        <v>52</v>
      </c>
      <c r="CD12" s="170" t="s">
        <v>53</v>
      </c>
      <c r="CE12" s="170" t="s">
        <v>54</v>
      </c>
      <c r="CF12" s="52"/>
      <c r="CG12" s="170" t="s">
        <v>55</v>
      </c>
    </row>
    <row r="13" spans="1:106">
      <c r="A13" s="3" t="s">
        <v>40</v>
      </c>
      <c r="C13" s="14"/>
      <c r="E13" s="3" t="s">
        <v>41</v>
      </c>
      <c r="F13" s="15">
        <f>SUM(F11:F12)</f>
        <v>114563</v>
      </c>
      <c r="G13" s="15"/>
      <c r="H13" s="15"/>
      <c r="J13" s="11"/>
      <c r="L13" s="11"/>
      <c r="M13" s="11"/>
      <c r="N13" s="11"/>
      <c r="Q13" s="11"/>
      <c r="R13" s="32"/>
      <c r="S13" s="11"/>
      <c r="T13" s="11"/>
      <c r="V13" s="16"/>
      <c r="W13" s="11"/>
      <c r="X13" s="11"/>
      <c r="Z13" s="11"/>
      <c r="AA13" s="11"/>
      <c r="AB13" s="11"/>
      <c r="AE13" s="11"/>
      <c r="AF13" s="11"/>
      <c r="AH13" s="11"/>
      <c r="AL13" s="11"/>
      <c r="AN13" s="11"/>
      <c r="AQ13" s="11"/>
      <c r="AR13" s="11"/>
      <c r="AS13" s="11"/>
      <c r="AU13" s="11"/>
      <c r="AW13" s="5"/>
      <c r="AX13" s="37"/>
      <c r="AY13" s="157"/>
      <c r="AZ13" s="11"/>
      <c r="BB13" s="11"/>
      <c r="BC13" s="11"/>
      <c r="BD13" s="11"/>
      <c r="BE13" s="11"/>
      <c r="BH13" s="11"/>
      <c r="BI13" s="11"/>
      <c r="BJ13" s="11"/>
      <c r="BK13" s="11"/>
      <c r="BL13" s="11"/>
      <c r="BN13" s="11"/>
      <c r="BO13" s="11"/>
      <c r="BP13" s="11"/>
      <c r="BR13" s="11"/>
      <c r="BS13" s="11"/>
      <c r="BT13" s="11"/>
      <c r="BW13" s="11"/>
      <c r="BX13" s="11"/>
      <c r="BY13" s="11"/>
      <c r="BZ13" s="11"/>
      <c r="CA13" s="11"/>
      <c r="CC13" s="11"/>
      <c r="CD13" s="11"/>
      <c r="CE13" s="11"/>
      <c r="CF13" s="11"/>
      <c r="CG13" s="11"/>
    </row>
    <row r="14" spans="1:106">
      <c r="A14" s="3" t="s">
        <v>47</v>
      </c>
      <c r="C14" s="17"/>
      <c r="F14" s="27"/>
      <c r="G14" s="27"/>
      <c r="H14" s="27"/>
      <c r="J14" s="4">
        <f>$C$47-$C$45</f>
        <v>1</v>
      </c>
      <c r="L14" s="11">
        <f>$C$47</f>
        <v>2015</v>
      </c>
      <c r="M14" s="31">
        <f>+ROUND('Res .95+% Res Furnace - NEW'!M14+'Res .95+% Res Furnace - Replace'!M14+'Res Water Heating .67 EF'!M14+'Programmable Thermostats'!M14+'Comm 95+ Furnace - New'!M14+'Comm 95+% Furnace - Replace'!M14+Custom!M14,0)</f>
        <v>4254</v>
      </c>
      <c r="N14" s="31">
        <f>+ROUND('Res .95+% Res Furnace - NEW'!N14+'Res .95+% Res Furnace - Replace'!N14+'Res Water Heating .67 EF'!N14+'Programmable Thermostats'!N14+'Comm 95+ Furnace - New'!N14+'Comm 95+% Furnace - Replace'!N14+Custom!N14,0)</f>
        <v>18</v>
      </c>
      <c r="O14" s="31">
        <f>+ROUND('Res .95+% Res Furnace - NEW'!O14+'Res .95+% Res Furnace - Replace'!O14+'Res Water Heating .67 EF'!O14+'Programmable Thermostats'!O14+'Comm 95+ Furnace - New'!O14+'Comm 95+% Furnace - Replace'!O14+Custom!O14,0)</f>
        <v>10963</v>
      </c>
      <c r="P14" s="31">
        <f>+ROUND('Res .95+% Res Furnace - NEW'!P14+'Res .95+% Res Furnace - Replace'!P14+'Res Water Heating .67 EF'!P14+'Programmable Thermostats'!P14+'Comm 95+ Furnace - New'!P14+'Comm 95+% Furnace - Replace'!P14+Custom!P14,0)</f>
        <v>0</v>
      </c>
      <c r="Q14" s="31">
        <f>+ROUND('Res .95+% Res Furnace - NEW'!Q14+'Res .95+% Res Furnace - Replace'!Q14+'Res Water Heating .67 EF'!Q14+'Programmable Thermostats'!Q14+'Comm 95+ Furnace - New'!Q14+'Comm 95+% Furnace - Replace'!Q14+Custom!Q14,0)</f>
        <v>0</v>
      </c>
      <c r="R14" s="31">
        <f>+ROUND('Res .95+% Res Furnace - NEW'!R14+'Res .95+% Res Furnace - Replace'!R14+'Res Water Heating .67 EF'!R14+'Programmable Thermostats'!R14+'Comm 95+ Furnace - New'!R14+'Comm 95+% Furnace - Replace'!R14+Custom!R14,0)</f>
        <v>10963</v>
      </c>
      <c r="S14" s="31">
        <f>+ROUND('Res .95+% Res Furnace - NEW'!S14+'Res .95+% Res Furnace - Replace'!S14+'Res Water Heating .67 EF'!S14+'Programmable Thermostats'!S14+'Comm 95+ Furnace - New'!S14+'Comm 95+% Furnace - Replace'!S14+Custom!S14,0)</f>
        <v>43</v>
      </c>
      <c r="T14" s="31">
        <f>+ROUND('Res .95+% Res Furnace - NEW'!T14+'Res .95+% Res Furnace - Replace'!T14+'Res Water Heating .67 EF'!T14+'Programmable Thermostats'!T14+'Comm 95+ Furnace - New'!T14+'Comm 95+% Furnace - Replace'!T14+Custom!T14,0)</f>
        <v>994</v>
      </c>
      <c r="U14" s="31">
        <f>+ROUND('Res .95+% Res Furnace - NEW'!U14+'Res .95+% Res Furnace - Replace'!U14+'Res Water Heating .67 EF'!U14+'Programmable Thermostats'!U14+'Comm 95+ Furnace - New'!U14+'Comm 95+% Furnace - Replace'!U14+Custom!U14,0)</f>
        <v>6049</v>
      </c>
      <c r="V14" s="30">
        <f>ROUND(+U14+R14,0)</f>
        <v>17012</v>
      </c>
      <c r="W14" s="158"/>
      <c r="X14" s="31">
        <f>+ROUND('Res .95+% Res Furnace - NEW'!X14+'Res .95+% Res Furnace - Replace'!X14+'Res Water Heating .67 EF'!X14+'Programmable Thermostats'!X14+'Comm 95+ Furnace - New'!X14+'Comm 95+% Furnace - Replace'!X14+Custom!X14,0)</f>
        <v>4945</v>
      </c>
      <c r="Y14" s="31">
        <f>+ROUND('Res .95+% Res Furnace - NEW'!Y14+'Res .95+% Res Furnace - Replace'!Y14+'Res Water Heating .67 EF'!Y14+'Programmable Thermostats'!Y14+'Comm 95+ Furnace - New'!Y14+'Comm 95+% Furnace - Replace'!Y14+Custom!Y14,0)</f>
        <v>7923</v>
      </c>
      <c r="Z14" s="31">
        <f>+ROUND('Res .95+% Res Furnace - NEW'!Z14+'Res .95+% Res Furnace - Replace'!Z14+'Res Water Heating .67 EF'!Z14+'Programmable Thermostats'!Z14+'Comm 95+ Furnace - New'!Z14+'Comm 95+% Furnace - Replace'!Z14+Custom!Z14,0)</f>
        <v>106640</v>
      </c>
      <c r="AA14" s="159">
        <f t="shared" ref="AA14" si="0">SUM(X14:Z14)</f>
        <v>119508</v>
      </c>
      <c r="AB14" s="15">
        <f t="shared" ref="AB14" si="1">V14-AA14</f>
        <v>-102496</v>
      </c>
      <c r="AE14" s="11">
        <f>$C$47</f>
        <v>2015</v>
      </c>
      <c r="AF14" s="15">
        <f t="shared" ref="AF14:AF34" si="2">+R14</f>
        <v>10963</v>
      </c>
      <c r="AG14" s="160">
        <f t="shared" ref="AG14:AG34" si="3">+U14</f>
        <v>6049</v>
      </c>
      <c r="AH14" s="159">
        <f>+AG14+AF14</f>
        <v>17012</v>
      </c>
      <c r="AJ14" s="160">
        <f>ROUND(Y14,0)</f>
        <v>7923</v>
      </c>
      <c r="AK14" s="160">
        <f>ROUND(Z14,0)</f>
        <v>106640</v>
      </c>
      <c r="AL14" s="15">
        <f t="shared" ref="AL14:AL34" si="4">SUM(AJ14:AK14)</f>
        <v>114563</v>
      </c>
      <c r="AN14" s="15">
        <f t="shared" ref="AN14:AN34" si="5">+AH14-AL14</f>
        <v>-97551</v>
      </c>
      <c r="AQ14" s="11">
        <f>$C$47</f>
        <v>2015</v>
      </c>
      <c r="AR14" s="15">
        <f t="shared" ref="AR14:AR34" si="6">AF14</f>
        <v>10963</v>
      </c>
      <c r="AS14" s="15">
        <f t="shared" ref="AS14:AT34" si="7">+AG14</f>
        <v>6049</v>
      </c>
      <c r="AT14" s="15">
        <f t="shared" si="7"/>
        <v>17012</v>
      </c>
      <c r="AU14" s="31">
        <f>+ROUND('Res .95+% Res Furnace - NEW'!AT14+'Res .95+% Res Furnace - Replace'!AU14+'Res Water Heating .67 EF'!AU14+'Programmable Thermostats'!AU14+'Comm 95+ Furnace - New'!AU14+'Comm 95+% Furnace - Replace'!AU14+Custom!AU14,0)</f>
        <v>6043</v>
      </c>
      <c r="AV14" s="31">
        <f>+ROUND('Res .95+% Res Furnace - NEW'!AU14+'Res .95+% Res Furnace - Replace'!AV14+'Res Water Heating .67 EF'!AV14+'Programmable Thermostats'!AV14+'Comm 95+ Furnace - New'!AV14+'Comm 95+% Furnace - Replace'!AV14+Custom!AV14,0)</f>
        <v>3</v>
      </c>
      <c r="AW14" s="31">
        <f>+ROUND('Res .95+% Res Furnace - NEW'!AV14+'Res .95+% Res Furnace - Replace'!AW14+'Res Water Heating .67 EF'!AW14+'Programmable Thermostats'!AW14+'Comm 95+ Furnace - New'!AW14+'Comm 95+% Furnace - Replace'!AW14+Custom!AW14,0)</f>
        <v>1523</v>
      </c>
      <c r="AX14" s="161"/>
      <c r="AY14" s="162"/>
      <c r="AZ14" s="15">
        <f>ROUND(AR14+AS14+AU14+AW14+AY14,0)</f>
        <v>24578</v>
      </c>
      <c r="BA14" s="25"/>
      <c r="BB14" s="31">
        <f>+ROUND('Res .95+% Res Furnace - NEW'!BA14+'Res .95+% Res Furnace - Replace'!BB14+'Res Water Heating .67 EF'!BB14+'Programmable Thermostats'!BB14+'Comm 95+ Furnace - New'!BB14+'Comm 95+% Furnace - Replace'!BB14+Custom!BB14,0)</f>
        <v>114563</v>
      </c>
      <c r="BC14" s="31">
        <f>+ROUND('Res .95+% Res Furnace - NEW'!BB14+'Res .95+% Res Furnace - Replace'!BC14+'Res Water Heating .67 EF'!BC14+'Programmable Thermostats'!BC14+'Comm 95+ Furnace - New'!BC14+'Comm 95+% Furnace - Replace'!BC14+Custom!BC14,0)</f>
        <v>79152</v>
      </c>
      <c r="BD14" s="163">
        <f>BB14+BC14</f>
        <v>193715</v>
      </c>
      <c r="BE14" s="159">
        <f t="shared" ref="BE14:BE34" si="8">AZ14-BD14</f>
        <v>-169137</v>
      </c>
      <c r="BH14" s="11">
        <f>$C$47</f>
        <v>2015</v>
      </c>
      <c r="BI14" s="31">
        <f>+ROUND('Res .95+% Res Furnace - NEW'!BH14+'Res .95+% Res Furnace - Replace'!BI14+'Res Water Heating .67 EF'!BI14+'Programmable Thermostats'!BI14+'Comm 95+ Furnace - New'!BI14+'Comm 95+% Furnace - Replace'!BI14+Custom!BI14,0)</f>
        <v>106640</v>
      </c>
      <c r="BJ14" s="31">
        <f>+ROUND('Res .95+% Res Furnace - NEW'!BI14+'Res .95+% Res Furnace - Replace'!BJ14+'Res Water Heating .67 EF'!BJ14+'Programmable Thermostats'!BJ14+'Comm 95+ Furnace - New'!BJ14+'Comm 95+% Furnace - Replace'!BJ14+Custom!BJ14,0)</f>
        <v>4254</v>
      </c>
      <c r="BK14" s="31">
        <f>+ROUND('Res .95+% Res Furnace - NEW'!BJ14+'Res .95+% Res Furnace - Replace'!BK14+'Res Water Heating .67 EF'!BK14+'Programmable Thermostats'!BK14+'Comm 95+ Furnace - New'!BK14+'Comm 95+% Furnace - Replace'!BK14+Custom!BK14,0)</f>
        <v>42</v>
      </c>
      <c r="BL14" s="31">
        <f>+ROUND('Res .95+% Res Furnace - NEW'!BK14+'Res .95+% Res Furnace - Replace'!BL14+'Res Water Heating .67 EF'!BL14+'Programmable Thermostats'!BL14+'Comm 95+ Furnace - New'!BL14+'Comm 95+% Furnace - Replace'!BL14+Custom!BL14,0)</f>
        <v>26226</v>
      </c>
      <c r="BM14" s="31">
        <f>+ROUND('Res .95+% Res Furnace - NEW'!BL14+'Res .95+% Res Furnace - Replace'!BM14+'Res Water Heating .67 EF'!BM14+'Programmable Thermostats'!BM14+'Comm 95+ Furnace - New'!BM14+'Comm 95+% Furnace - Replace'!BM14+Custom!BM14,0)</f>
        <v>1</v>
      </c>
      <c r="BN14" s="31">
        <f>+ROUND('Res .95+% Res Furnace - NEW'!BM14+'Res .95+% Res Furnace - Replace'!BN14+'Res Water Heating .67 EF'!BN14+'Programmable Thermostats'!BN14+'Comm 95+ Furnace - New'!BN14+'Comm 95+% Furnace - Replace'!BN14+Custom!BN14,0)</f>
        <v>36985</v>
      </c>
      <c r="BO14" s="162"/>
      <c r="BP14" s="15">
        <f t="shared" ref="BP14:BP34" si="9">BI14+BL14+BN14+BO14</f>
        <v>169851</v>
      </c>
      <c r="BR14" s="31">
        <f>+ROUND('Res .95+% Res Furnace - NEW'!BQ14+'Res .95+% Res Furnace - Replace'!BR14+'Res Water Heating .67 EF'!BR14+'Programmable Thermostats'!BR14+'Comm 95+ Furnace - New'!BR14+'Comm 95+% Furnace - Replace'!BR14+Custom!BR14,0)</f>
        <v>185792</v>
      </c>
      <c r="BS14" s="15"/>
      <c r="BT14" s="15">
        <f>BP14-BR14</f>
        <v>-15941</v>
      </c>
      <c r="BW14" s="11">
        <f>$C$47</f>
        <v>2015</v>
      </c>
      <c r="BX14" s="15">
        <f t="shared" ref="BX14:BX35" si="10">$R14</f>
        <v>10963</v>
      </c>
      <c r="BY14" s="15">
        <f>U14</f>
        <v>6049</v>
      </c>
      <c r="BZ14" s="168">
        <f>AU14</f>
        <v>6043</v>
      </c>
      <c r="CA14" s="15">
        <f>SUM(BX14:BZ14)</f>
        <v>23055</v>
      </c>
      <c r="CC14" s="15">
        <f>BB14</f>
        <v>114563</v>
      </c>
      <c r="CD14" s="15">
        <f>BC14</f>
        <v>79152</v>
      </c>
      <c r="CE14" s="15">
        <f>SUM(CC14:CD14)</f>
        <v>193715</v>
      </c>
      <c r="CF14" s="15"/>
      <c r="CG14" s="15">
        <f>CA14-CE14</f>
        <v>-170660</v>
      </c>
    </row>
    <row r="15" spans="1:106">
      <c r="A15" s="3" t="s">
        <v>62</v>
      </c>
      <c r="C15" s="188"/>
      <c r="E15" s="3" t="s">
        <v>63</v>
      </c>
      <c r="F15" s="190"/>
      <c r="G15" s="190"/>
      <c r="H15" s="190"/>
      <c r="J15" s="4">
        <f t="shared" ref="J15:J35" si="11">J14+1</f>
        <v>2</v>
      </c>
      <c r="L15" s="11">
        <f t="shared" ref="L15:L35" si="12">L14+1</f>
        <v>2016</v>
      </c>
      <c r="M15" s="31">
        <f>+ROUND('Res .95+% Res Furnace - NEW'!M15+'Res .95+% Res Furnace - Replace'!M15+'Res Water Heating .67 EF'!M15+'Programmable Thermostats'!M15+'Comm 95+ Furnace - New'!M15+'Comm 95+% Furnace - Replace'!M15+Custom!M15,0)</f>
        <v>4254</v>
      </c>
      <c r="N15" s="31">
        <f>+ROUND('Res .95+% Res Furnace - NEW'!N15+'Res .95+% Res Furnace - Replace'!N15+'Res Water Heating .67 EF'!N15+'Programmable Thermostats'!N15+'Comm 95+ Furnace - New'!N15+'Comm 95+% Furnace - Replace'!N15+Custom!N15,0)</f>
        <v>19</v>
      </c>
      <c r="O15" s="31">
        <f>+ROUND('Res .95+% Res Furnace - NEW'!O15+'Res .95+% Res Furnace - Replace'!O15+'Res Water Heating .67 EF'!O15+'Programmable Thermostats'!O15+'Comm 95+ Furnace - New'!O15+'Comm 95+% Furnace - Replace'!O15+Custom!O15,0)</f>
        <v>11345</v>
      </c>
      <c r="P15" s="31">
        <f>+ROUND('Res .95+% Res Furnace - NEW'!P15+'Res .95+% Res Furnace - Replace'!P15+'Res Water Heating .67 EF'!P15+'Programmable Thermostats'!P15+'Comm 95+ Furnace - New'!P15+'Comm 95+% Furnace - Replace'!P15+Custom!P15,0)</f>
        <v>0</v>
      </c>
      <c r="Q15" s="31">
        <f>+ROUND('Res .95+% Res Furnace - NEW'!Q15+'Res .95+% Res Furnace - Replace'!Q15+'Res Water Heating .67 EF'!Q15+'Programmable Thermostats'!Q15+'Comm 95+ Furnace - New'!Q15+'Comm 95+% Furnace - Replace'!Q15+Custom!Q15,0)</f>
        <v>0</v>
      </c>
      <c r="R15" s="31">
        <f>+ROUND('Res .95+% Res Furnace - NEW'!R15+'Res .95+% Res Furnace - Replace'!R15+'Res Water Heating .67 EF'!R15+'Programmable Thermostats'!R15+'Comm 95+ Furnace - New'!R15+'Comm 95+% Furnace - Replace'!R15+Custom!R15,0)</f>
        <v>11345</v>
      </c>
      <c r="S15" s="31">
        <f>+ROUND('Res .95+% Res Furnace - NEW'!S15+'Res .95+% Res Furnace - Replace'!S15+'Res Water Heating .67 EF'!S15+'Programmable Thermostats'!S15+'Comm 95+ Furnace - New'!S15+'Comm 95+% Furnace - Replace'!S15+Custom!S15,0)</f>
        <v>43</v>
      </c>
      <c r="T15" s="31">
        <f>+ROUND('Res .95+% Res Furnace - NEW'!T15+'Res .95+% Res Furnace - Replace'!T15+'Res Water Heating .67 EF'!T15+'Programmable Thermostats'!T15+'Comm 95+ Furnace - New'!T15+'Comm 95+% Furnace - Replace'!T15+Custom!T15,0)</f>
        <v>1008</v>
      </c>
      <c r="U15" s="31">
        <f>+ROUND('Res .95+% Res Furnace - NEW'!U15+'Res .95+% Res Furnace - Replace'!U15+'Res Water Heating .67 EF'!U15+'Programmable Thermostats'!U15+'Comm 95+ Furnace - New'!U15+'Comm 95+% Furnace - Replace'!U15+Custom!U15,0)</f>
        <v>6135</v>
      </c>
      <c r="V15" s="31">
        <f t="shared" ref="V15:V34" si="13">ROUND(+U15+R15,0)</f>
        <v>17480</v>
      </c>
      <c r="W15" s="62"/>
      <c r="X15" s="31">
        <f>+ROUND('Res .95+% Res Furnace - NEW'!X15+'Res .95+% Res Furnace - Replace'!X15+'Res Water Heating .67 EF'!X15+'Programmable Thermostats'!X15+'Comm 95+ Furnace - New'!X15+'Comm 95+% Furnace - Replace'!X15+Custom!X15,0)</f>
        <v>5119</v>
      </c>
      <c r="Y15" s="31">
        <f>+ROUND('Res .95+% Res Furnace - NEW'!Y15+'Res .95+% Res Furnace - Replace'!Y15+'Res Water Heating .67 EF'!Y15+'Programmable Thermostats'!Y15+'Comm 95+ Furnace - New'!Y15+'Comm 95+% Furnace - Replace'!Y15+Custom!Y15,0)</f>
        <v>0</v>
      </c>
      <c r="Z15" s="31">
        <f>+ROUND('Res .95+% Res Furnace - NEW'!Z15+'Res .95+% Res Furnace - Replace'!Z15+'Res Water Heating .67 EF'!Z15+'Programmable Thermostats'!Z15+'Comm 95+ Furnace - New'!Z15+'Comm 95+% Furnace - Replace'!Z15+Custom!Z15,0)</f>
        <v>0</v>
      </c>
      <c r="AA15" s="159">
        <f t="shared" ref="AA15:AA35" si="14">SUM(X15:Z15)</f>
        <v>5119</v>
      </c>
      <c r="AB15" s="15">
        <f t="shared" ref="AB15:AB35" si="15">V15-AA15</f>
        <v>12361</v>
      </c>
      <c r="AE15" s="11">
        <f t="shared" ref="AE15:AE35" si="16">AE14+1</f>
        <v>2016</v>
      </c>
      <c r="AF15" s="63">
        <f t="shared" si="2"/>
        <v>11345</v>
      </c>
      <c r="AG15" s="27">
        <f t="shared" si="3"/>
        <v>6135</v>
      </c>
      <c r="AH15" s="63">
        <f>+AG15+AF15</f>
        <v>17480</v>
      </c>
      <c r="AJ15" s="54">
        <f t="shared" ref="AJ15:AK34" si="17">ROUND(Y15,0)</f>
        <v>0</v>
      </c>
      <c r="AK15" s="54">
        <f t="shared" si="17"/>
        <v>0</v>
      </c>
      <c r="AL15" s="49">
        <f t="shared" si="4"/>
        <v>0</v>
      </c>
      <c r="AN15" s="108">
        <f t="shared" si="5"/>
        <v>17480</v>
      </c>
      <c r="AQ15" s="11">
        <f t="shared" ref="AQ15:AQ35" si="18">AQ14+1</f>
        <v>2016</v>
      </c>
      <c r="AR15" s="63">
        <f t="shared" si="6"/>
        <v>11345</v>
      </c>
      <c r="AS15" s="63">
        <f t="shared" si="7"/>
        <v>6135</v>
      </c>
      <c r="AT15" s="15">
        <f t="shared" si="7"/>
        <v>17480</v>
      </c>
      <c r="AU15" s="31">
        <f>+ROUND('Res .95+% Res Furnace - NEW'!AT15+'Res .95+% Res Furnace - Replace'!AU15+'Res Water Heating .67 EF'!AU15+'Programmable Thermostats'!AU15+'Comm 95+ Furnace - New'!AU15+'Comm 95+% Furnace - Replace'!AU15+Custom!AU15,0)</f>
        <v>6296</v>
      </c>
      <c r="AV15" s="31">
        <f>+ROUND('Res .95+% Res Furnace - NEW'!AU15+'Res .95+% Res Furnace - Replace'!AV15+'Res Water Heating .67 EF'!AV15+'Programmable Thermostats'!AV15+'Comm 95+ Furnace - New'!AV15+'Comm 95+% Furnace - Replace'!AV15+Custom!AV15,0)</f>
        <v>3</v>
      </c>
      <c r="AW15" s="31">
        <f>+ROUND('Res .95+% Res Furnace - NEW'!AV15+'Res .95+% Res Furnace - Replace'!AW15+'Res Water Heating .67 EF'!AW15+'Programmable Thermostats'!AW15+'Comm 95+ Furnace - New'!AW15+'Comm 95+% Furnace - Replace'!AW15+Custom!AW15,0)</f>
        <v>1557</v>
      </c>
      <c r="AX15" s="134"/>
      <c r="AY15" s="135"/>
      <c r="AZ15" s="63">
        <f t="shared" ref="AZ15:AZ34" si="19">ROUND(AR15+AS15+AU15+AW15+AY15,0)</f>
        <v>25333</v>
      </c>
      <c r="BA15" s="25"/>
      <c r="BB15" s="31">
        <f>+ROUND('Res .95+% Res Furnace - NEW'!BA15+'Res .95+% Res Furnace - Replace'!BB15+'Res Water Heating .67 EF'!BB15+'Programmable Thermostats'!BB15+'Comm 95+ Furnace - New'!BB15+'Comm 95+% Furnace - Replace'!BB15+Custom!BB15,0)</f>
        <v>0</v>
      </c>
      <c r="BC15" s="31">
        <f>+ROUND('Res .95+% Res Furnace - NEW'!BB15+'Res .95+% Res Furnace - Replace'!BC15+'Res Water Heating .67 EF'!BC15+'Programmable Thermostats'!BC15+'Comm 95+ Furnace - New'!BC15+'Comm 95+% Furnace - Replace'!BC15+Custom!BC15,0)</f>
        <v>0</v>
      </c>
      <c r="BD15" s="64">
        <f t="shared" ref="BD15:BD34" si="20">BB15+BC15</f>
        <v>0</v>
      </c>
      <c r="BE15" s="63">
        <f t="shared" si="8"/>
        <v>25333</v>
      </c>
      <c r="BH15" s="11">
        <f t="shared" ref="BH15:BH35" si="21">BH14+1</f>
        <v>2016</v>
      </c>
      <c r="BI15" s="31">
        <f>+ROUND('Res .95+% Res Furnace - NEW'!BH15+'Res .95+% Res Furnace - Replace'!BI15+'Res Water Heating .67 EF'!BI15+'Programmable Thermostats'!BI15+'Comm 95+ Furnace - New'!BI15+'Comm 95+% Furnace - Replace'!BI15+Custom!BI15,0)</f>
        <v>0</v>
      </c>
      <c r="BJ15" s="31">
        <f>+ROUND('Res .95+% Res Furnace - NEW'!BI15+'Res .95+% Res Furnace - Replace'!BJ15+'Res Water Heating .67 EF'!BJ15+'Programmable Thermostats'!BJ15+'Comm 95+ Furnace - New'!BJ15+'Comm 95+% Furnace - Replace'!BJ15+Custom!BJ15,0)</f>
        <v>4254</v>
      </c>
      <c r="BK15" s="31">
        <f>+ROUND('Res .95+% Res Furnace - NEW'!BJ15+'Res .95+% Res Furnace - Replace'!BK15+'Res Water Heating .67 EF'!BK15+'Programmable Thermostats'!BK15+'Comm 95+ Furnace - New'!BK15+'Comm 95+% Furnace - Replace'!BK15+Custom!BK15,0)</f>
        <v>43</v>
      </c>
      <c r="BL15" s="31">
        <f>+ROUND('Res .95+% Res Furnace - NEW'!BK15+'Res .95+% Res Furnace - Replace'!BL15+'Res Water Heating .67 EF'!BL15+'Programmable Thermostats'!BL15+'Comm 95+ Furnace - New'!BL15+'Comm 95+% Furnace - Replace'!BL15+Custom!BL15,0)</f>
        <v>27142</v>
      </c>
      <c r="BM15" s="31">
        <f>+ROUND('Res .95+% Res Furnace - NEW'!BL15+'Res .95+% Res Furnace - Replace'!BM15+'Res Water Heating .67 EF'!BM15+'Programmable Thermostats'!BM15+'Comm 95+ Furnace - New'!BM15+'Comm 95+% Furnace - Replace'!BM15+Custom!BM15,0)</f>
        <v>1</v>
      </c>
      <c r="BN15" s="31">
        <f>+ROUND('Res .95+% Res Furnace - NEW'!BM15+'Res .95+% Res Furnace - Replace'!BN15+'Res Water Heating .67 EF'!BN15+'Programmable Thermostats'!BN15+'Comm 95+ Furnace - New'!BN15+'Comm 95+% Furnace - Replace'!BN15+Custom!BN15,0)</f>
        <v>38244</v>
      </c>
      <c r="BO15" s="124"/>
      <c r="BP15" s="63">
        <f t="shared" si="9"/>
        <v>65386</v>
      </c>
      <c r="BR15" s="31">
        <f>+ROUND('Res .95+% Res Furnace - NEW'!BQ15+'Res .95+% Res Furnace - Replace'!BR15+'Res Water Heating .67 EF'!BR15+'Programmable Thermostats'!BR15+'Comm 95+ Furnace - New'!BR15+'Comm 95+% Furnace - Replace'!BR15+Custom!BR15,0)</f>
        <v>0</v>
      </c>
      <c r="BS15" s="63"/>
      <c r="BT15" s="15">
        <f t="shared" ref="BT15:BT35" si="22">BP15-BR15</f>
        <v>65386</v>
      </c>
      <c r="BW15" s="11">
        <f t="shared" ref="BW15:BW35" si="23">BW14+1</f>
        <v>2016</v>
      </c>
      <c r="BX15" s="63">
        <f t="shared" si="10"/>
        <v>11345</v>
      </c>
      <c r="BY15" s="20">
        <f t="shared" ref="BY15:BY34" si="24">U15</f>
        <v>6135</v>
      </c>
      <c r="BZ15" s="169">
        <f t="shared" ref="BZ15:BZ34" si="25">AU15</f>
        <v>6296</v>
      </c>
      <c r="CA15" s="63">
        <f t="shared" ref="CA15:CA34" si="26">SUM(BX15:BZ15)</f>
        <v>23776</v>
      </c>
      <c r="CC15" s="63">
        <f t="shared" ref="CC15:CD34" si="27">BB15</f>
        <v>0</v>
      </c>
      <c r="CD15" s="63">
        <f t="shared" si="27"/>
        <v>0</v>
      </c>
      <c r="CE15" s="63">
        <f t="shared" ref="CE15:CE34" si="28">SUM(CC15:CD15)</f>
        <v>0</v>
      </c>
      <c r="CF15" s="63"/>
      <c r="CG15" s="15">
        <f t="shared" ref="CG15:CG35" si="29">CA15-CE15</f>
        <v>23776</v>
      </c>
    </row>
    <row r="16" spans="1:106">
      <c r="F16" s="199"/>
      <c r="G16" s="20"/>
      <c r="H16" s="20"/>
      <c r="J16" s="4">
        <f t="shared" si="11"/>
        <v>3</v>
      </c>
      <c r="L16" s="11">
        <f t="shared" si="12"/>
        <v>2017</v>
      </c>
      <c r="M16" s="31">
        <f>+ROUND('Res .95+% Res Furnace - NEW'!M16+'Res .95+% Res Furnace - Replace'!M16+'Res Water Heating .67 EF'!M16+'Programmable Thermostats'!M16+'Comm 95+ Furnace - New'!M16+'Comm 95+% Furnace - Replace'!M16+Custom!M16,0)</f>
        <v>4254</v>
      </c>
      <c r="N16" s="31">
        <f>+ROUND('Res .95+% Res Furnace - NEW'!N16+'Res .95+% Res Furnace - Replace'!N16+'Res Water Heating .67 EF'!N16+'Programmable Thermostats'!N16+'Comm 95+ Furnace - New'!N16+'Comm 95+% Furnace - Replace'!N16+Custom!N16,0)</f>
        <v>19</v>
      </c>
      <c r="O16" s="31">
        <f>+ROUND('Res .95+% Res Furnace - NEW'!O16+'Res .95+% Res Furnace - Replace'!O16+'Res Water Heating .67 EF'!O16+'Programmable Thermostats'!O16+'Comm 95+ Furnace - New'!O16+'Comm 95+% Furnace - Replace'!O16+Custom!O16,0)</f>
        <v>11745</v>
      </c>
      <c r="P16" s="31">
        <f>+ROUND('Res .95+% Res Furnace - NEW'!P16+'Res .95+% Res Furnace - Replace'!P16+'Res Water Heating .67 EF'!P16+'Programmable Thermostats'!P16+'Comm 95+ Furnace - New'!P16+'Comm 95+% Furnace - Replace'!P16+Custom!P16,0)</f>
        <v>0</v>
      </c>
      <c r="Q16" s="31">
        <f>+ROUND('Res .95+% Res Furnace - NEW'!Q16+'Res .95+% Res Furnace - Replace'!Q16+'Res Water Heating .67 EF'!Q16+'Programmable Thermostats'!Q16+'Comm 95+ Furnace - New'!Q16+'Comm 95+% Furnace - Replace'!Q16+Custom!Q16,0)</f>
        <v>0</v>
      </c>
      <c r="R16" s="31">
        <f>+ROUND('Res .95+% Res Furnace - NEW'!R16+'Res .95+% Res Furnace - Replace'!R16+'Res Water Heating .67 EF'!R16+'Programmable Thermostats'!R16+'Comm 95+ Furnace - New'!R16+'Comm 95+% Furnace - Replace'!R16+Custom!R16,0)</f>
        <v>11745</v>
      </c>
      <c r="S16" s="31">
        <f>+ROUND('Res .95+% Res Furnace - NEW'!S16+'Res .95+% Res Furnace - Replace'!S16+'Res Water Heating .67 EF'!S16+'Programmable Thermostats'!S16+'Comm 95+ Furnace - New'!S16+'Comm 95+% Furnace - Replace'!S16+Custom!S16,0)</f>
        <v>43</v>
      </c>
      <c r="T16" s="31">
        <f>+ROUND('Res .95+% Res Furnace - NEW'!T16+'Res .95+% Res Furnace - Replace'!T16+'Res Water Heating .67 EF'!T16+'Programmable Thermostats'!T16+'Comm 95+ Furnace - New'!T16+'Comm 95+% Furnace - Replace'!T16+Custom!T16,0)</f>
        <v>1015</v>
      </c>
      <c r="U16" s="31">
        <f>+ROUND('Res .95+% Res Furnace - NEW'!U16+'Res .95+% Res Furnace - Replace'!U16+'Res Water Heating .67 EF'!U16+'Programmable Thermostats'!U16+'Comm 95+ Furnace - New'!U16+'Comm 95+% Furnace - Replace'!U16+Custom!U16,0)</f>
        <v>6178</v>
      </c>
      <c r="V16" s="31">
        <f t="shared" si="13"/>
        <v>17923</v>
      </c>
      <c r="W16" s="62"/>
      <c r="X16" s="31">
        <f>+ROUND('Res .95+% Res Furnace - NEW'!X16+'Res .95+% Res Furnace - Replace'!X16+'Res Water Heating .67 EF'!X16+'Programmable Thermostats'!X16+'Comm 95+ Furnace - New'!X16+'Comm 95+% Furnace - Replace'!X16+Custom!X16,0)</f>
        <v>5300</v>
      </c>
      <c r="Y16" s="31">
        <f>+ROUND('Res .95+% Res Furnace - NEW'!Y16+'Res .95+% Res Furnace - Replace'!Y16+'Res Water Heating .67 EF'!Y16+'Programmable Thermostats'!Y16+'Comm 95+ Furnace - New'!Y16+'Comm 95+% Furnace - Replace'!Y16+Custom!Y16,0)</f>
        <v>0</v>
      </c>
      <c r="Z16" s="31">
        <f>+ROUND('Res .95+% Res Furnace - NEW'!Z16+'Res .95+% Res Furnace - Replace'!Z16+'Res Water Heating .67 EF'!Z16+'Programmable Thermostats'!Z16+'Comm 95+ Furnace - New'!Z16+'Comm 95+% Furnace - Replace'!Z16+Custom!Z16,0)</f>
        <v>0</v>
      </c>
      <c r="AA16" s="159">
        <f t="shared" si="14"/>
        <v>5300</v>
      </c>
      <c r="AB16" s="15">
        <f t="shared" si="15"/>
        <v>12623</v>
      </c>
      <c r="AE16" s="11">
        <f t="shared" si="16"/>
        <v>2017</v>
      </c>
      <c r="AF16" s="63">
        <f t="shared" si="2"/>
        <v>11745</v>
      </c>
      <c r="AG16" s="27">
        <f t="shared" si="3"/>
        <v>6178</v>
      </c>
      <c r="AH16" s="63">
        <f t="shared" ref="AH16:AH34" si="30">+AG16+AF16</f>
        <v>17923</v>
      </c>
      <c r="AJ16" s="54">
        <f t="shared" si="17"/>
        <v>0</v>
      </c>
      <c r="AK16" s="54">
        <f t="shared" si="17"/>
        <v>0</v>
      </c>
      <c r="AL16" s="49">
        <f t="shared" si="4"/>
        <v>0</v>
      </c>
      <c r="AN16" s="108">
        <f t="shared" si="5"/>
        <v>17923</v>
      </c>
      <c r="AQ16" s="11">
        <f t="shared" si="18"/>
        <v>2017</v>
      </c>
      <c r="AR16" s="63">
        <f t="shared" si="6"/>
        <v>11745</v>
      </c>
      <c r="AS16" s="63">
        <f t="shared" si="7"/>
        <v>6178</v>
      </c>
      <c r="AT16" s="15">
        <f t="shared" si="7"/>
        <v>17923</v>
      </c>
      <c r="AU16" s="31">
        <f>+ROUND('Res .95+% Res Furnace - NEW'!AT16+'Res .95+% Res Furnace - Replace'!AU16+'Res Water Heating .67 EF'!AU16+'Programmable Thermostats'!AU16+'Comm 95+ Furnace - New'!AU16+'Comm 95+% Furnace - Replace'!AU16+Custom!AU16,0)</f>
        <v>6296</v>
      </c>
      <c r="AV16" s="31">
        <f>+ROUND('Res .95+% Res Furnace - NEW'!AU16+'Res .95+% Res Furnace - Replace'!AV16+'Res Water Heating .67 EF'!AV16+'Programmable Thermostats'!AV16+'Comm 95+ Furnace - New'!AV16+'Comm 95+% Furnace - Replace'!AV16+Custom!AV16,0)</f>
        <v>3</v>
      </c>
      <c r="AW16" s="31">
        <f>+ROUND('Res .95+% Res Furnace - NEW'!AV16+'Res .95+% Res Furnace - Replace'!AW16+'Res Water Heating .67 EF'!AW16+'Programmable Thermostats'!AW16+'Comm 95+ Furnace - New'!AW16+'Comm 95+% Furnace - Replace'!AW16+Custom!AW16,0)</f>
        <v>1595</v>
      </c>
      <c r="AX16" s="134"/>
      <c r="AY16" s="135"/>
      <c r="AZ16" s="63">
        <f t="shared" si="19"/>
        <v>25814</v>
      </c>
      <c r="BA16" s="25"/>
      <c r="BB16" s="31">
        <f>+ROUND('Res .95+% Res Furnace - NEW'!BA16+'Res .95+% Res Furnace - Replace'!BB16+'Res Water Heating .67 EF'!BB16+'Programmable Thermostats'!BB16+'Comm 95+ Furnace - New'!BB16+'Comm 95+% Furnace - Replace'!BB16+Custom!BB16,0)</f>
        <v>0</v>
      </c>
      <c r="BC16" s="31">
        <f>+ROUND('Res .95+% Res Furnace - NEW'!BB16+'Res .95+% Res Furnace - Replace'!BC16+'Res Water Heating .67 EF'!BC16+'Programmable Thermostats'!BC16+'Comm 95+ Furnace - New'!BC16+'Comm 95+% Furnace - Replace'!BC16+Custom!BC16,0)</f>
        <v>0</v>
      </c>
      <c r="BD16" s="64">
        <f t="shared" si="20"/>
        <v>0</v>
      </c>
      <c r="BE16" s="63">
        <f t="shared" si="8"/>
        <v>25814</v>
      </c>
      <c r="BH16" s="11">
        <f t="shared" si="21"/>
        <v>2017</v>
      </c>
      <c r="BI16" s="31">
        <f>+ROUND('Res .95+% Res Furnace - NEW'!BH16+'Res .95+% Res Furnace - Replace'!BI16+'Res Water Heating .67 EF'!BI16+'Programmable Thermostats'!BI16+'Comm 95+ Furnace - New'!BI16+'Comm 95+% Furnace - Replace'!BI16+Custom!BI16,0)</f>
        <v>0</v>
      </c>
      <c r="BJ16" s="31">
        <f>+ROUND('Res .95+% Res Furnace - NEW'!BI16+'Res .95+% Res Furnace - Replace'!BJ16+'Res Water Heating .67 EF'!BJ16+'Programmable Thermostats'!BJ16+'Comm 95+ Furnace - New'!BJ16+'Comm 95+% Furnace - Replace'!BJ16+Custom!BJ16,0)</f>
        <v>4254</v>
      </c>
      <c r="BK16" s="31">
        <f>+ROUND('Res .95+% Res Furnace - NEW'!BJ16+'Res .95+% Res Furnace - Replace'!BK16+'Res Water Heating .67 EF'!BK16+'Programmable Thermostats'!BK16+'Comm 95+ Furnace - New'!BK16+'Comm 95+% Furnace - Replace'!BK16+Custom!BK16,0)</f>
        <v>45</v>
      </c>
      <c r="BL16" s="31">
        <f>+ROUND('Res .95+% Res Furnace - NEW'!BK16+'Res .95+% Res Furnace - Replace'!BL16+'Res Water Heating .67 EF'!BL16+'Programmable Thermostats'!BL16+'Comm 95+ Furnace - New'!BL16+'Comm 95+% Furnace - Replace'!BL16+Custom!BL16,0)</f>
        <v>28092</v>
      </c>
      <c r="BM16" s="31">
        <f>+ROUND('Res .95+% Res Furnace - NEW'!BL16+'Res .95+% Res Furnace - Replace'!BM16+'Res Water Heating .67 EF'!BM16+'Programmable Thermostats'!BM16+'Comm 95+ Furnace - New'!BM16+'Comm 95+% Furnace - Replace'!BM16+Custom!BM16,0)</f>
        <v>1</v>
      </c>
      <c r="BN16" s="31">
        <f>+ROUND('Res .95+% Res Furnace - NEW'!BM16+'Res .95+% Res Furnace - Replace'!BN16+'Res Water Heating .67 EF'!BN16+'Programmable Thermostats'!BN16+'Comm 95+ Furnace - New'!BN16+'Comm 95+% Furnace - Replace'!BN16+Custom!BN16,0)</f>
        <v>39751</v>
      </c>
      <c r="BO16" s="124"/>
      <c r="BP16" s="63">
        <f t="shared" si="9"/>
        <v>67843</v>
      </c>
      <c r="BR16" s="31">
        <f>+ROUND('Res .95+% Res Furnace - NEW'!BQ16+'Res .95+% Res Furnace - Replace'!BR16+'Res Water Heating .67 EF'!BR16+'Programmable Thermostats'!BR16+'Comm 95+ Furnace - New'!BR16+'Comm 95+% Furnace - Replace'!BR16+Custom!BR16,0)</f>
        <v>0</v>
      </c>
      <c r="BS16" s="63"/>
      <c r="BT16" s="15">
        <f t="shared" si="22"/>
        <v>67843</v>
      </c>
      <c r="BW16" s="11">
        <f t="shared" si="23"/>
        <v>2017</v>
      </c>
      <c r="BX16" s="63">
        <f t="shared" si="10"/>
        <v>11745</v>
      </c>
      <c r="BY16" s="20">
        <f t="shared" si="24"/>
        <v>6178</v>
      </c>
      <c r="BZ16" s="169">
        <f t="shared" si="25"/>
        <v>6296</v>
      </c>
      <c r="CA16" s="63">
        <f t="shared" si="26"/>
        <v>24219</v>
      </c>
      <c r="CC16" s="63">
        <f t="shared" si="27"/>
        <v>0</v>
      </c>
      <c r="CD16" s="63">
        <f t="shared" si="27"/>
        <v>0</v>
      </c>
      <c r="CE16" s="63">
        <f t="shared" si="28"/>
        <v>0</v>
      </c>
      <c r="CF16" s="63"/>
      <c r="CG16" s="15">
        <f t="shared" si="29"/>
        <v>24219</v>
      </c>
    </row>
    <row r="17" spans="1:106">
      <c r="A17" s="3" t="s">
        <v>105</v>
      </c>
      <c r="C17" s="14"/>
      <c r="D17" s="23"/>
      <c r="E17" s="3" t="s">
        <v>64</v>
      </c>
      <c r="F17" s="18"/>
      <c r="G17" s="18"/>
      <c r="H17" s="18"/>
      <c r="J17" s="4">
        <f t="shared" si="11"/>
        <v>4</v>
      </c>
      <c r="L17" s="11">
        <f t="shared" si="12"/>
        <v>2018</v>
      </c>
      <c r="M17" s="31">
        <f>+ROUND('Res .95+% Res Furnace - NEW'!M17+'Res .95+% Res Furnace - Replace'!M17+'Res Water Heating .67 EF'!M17+'Programmable Thermostats'!M17+'Comm 95+ Furnace - New'!M17+'Comm 95+% Furnace - Replace'!M17+Custom!M17,0)</f>
        <v>4254</v>
      </c>
      <c r="N17" s="31">
        <f>+ROUND('Res .95+% Res Furnace - NEW'!N17+'Res .95+% Res Furnace - Replace'!N17+'Res Water Heating .67 EF'!N17+'Programmable Thermostats'!N17+'Comm 95+ Furnace - New'!N17+'Comm 95+% Furnace - Replace'!N17+Custom!N17,0)</f>
        <v>20</v>
      </c>
      <c r="O17" s="31">
        <f>+ROUND('Res .95+% Res Furnace - NEW'!O17+'Res .95+% Res Furnace - Replace'!O17+'Res Water Heating .67 EF'!O17+'Programmable Thermostats'!O17+'Comm 95+ Furnace - New'!O17+'Comm 95+% Furnace - Replace'!O17+Custom!O17,0)</f>
        <v>12154</v>
      </c>
      <c r="P17" s="31">
        <f>+ROUND('Res .95+% Res Furnace - NEW'!P17+'Res .95+% Res Furnace - Replace'!P17+'Res Water Heating .67 EF'!P17+'Programmable Thermostats'!P17+'Comm 95+ Furnace - New'!P17+'Comm 95+% Furnace - Replace'!P17+Custom!P17,0)</f>
        <v>0</v>
      </c>
      <c r="Q17" s="31">
        <f>+ROUND('Res .95+% Res Furnace - NEW'!Q17+'Res .95+% Res Furnace - Replace'!Q17+'Res Water Heating .67 EF'!Q17+'Programmable Thermostats'!Q17+'Comm 95+ Furnace - New'!Q17+'Comm 95+% Furnace - Replace'!Q17+Custom!Q17,0)</f>
        <v>0</v>
      </c>
      <c r="R17" s="31">
        <f>+ROUND('Res .95+% Res Furnace - NEW'!R17+'Res .95+% Res Furnace - Replace'!R17+'Res Water Heating .67 EF'!R17+'Programmable Thermostats'!R17+'Comm 95+ Furnace - New'!R17+'Comm 95+% Furnace - Replace'!R17+Custom!R17,0)</f>
        <v>12154</v>
      </c>
      <c r="S17" s="31">
        <f>+ROUND('Res .95+% Res Furnace - NEW'!S17+'Res .95+% Res Furnace - Replace'!S17+'Res Water Heating .67 EF'!S17+'Programmable Thermostats'!S17+'Comm 95+ Furnace - New'!S17+'Comm 95+% Furnace - Replace'!S17+Custom!S17,0)</f>
        <v>43</v>
      </c>
      <c r="T17" s="31">
        <f>+ROUND('Res .95+% Res Furnace - NEW'!T17+'Res .95+% Res Furnace - Replace'!T17+'Res Water Heating .67 EF'!T17+'Programmable Thermostats'!T17+'Comm 95+ Furnace - New'!T17+'Comm 95+% Furnace - Replace'!T17+Custom!T17,0)</f>
        <v>1029</v>
      </c>
      <c r="U17" s="31">
        <f>+ROUND('Res .95+% Res Furnace - NEW'!U17+'Res .95+% Res Furnace - Replace'!U17+'Res Water Heating .67 EF'!U17+'Programmable Thermostats'!U17+'Comm 95+ Furnace - New'!U17+'Comm 95+% Furnace - Replace'!U17+Custom!U17,0)</f>
        <v>6262</v>
      </c>
      <c r="V17" s="31">
        <f t="shared" si="13"/>
        <v>18416</v>
      </c>
      <c r="W17" s="62"/>
      <c r="X17" s="31">
        <f>+ROUND('Res .95+% Res Furnace - NEW'!X17+'Res .95+% Res Furnace - Replace'!X17+'Res Water Heating .67 EF'!X17+'Programmable Thermostats'!X17+'Comm 95+ Furnace - New'!X17+'Comm 95+% Furnace - Replace'!X17+Custom!X17,0)</f>
        <v>5484</v>
      </c>
      <c r="Y17" s="31">
        <f>+ROUND('Res .95+% Res Furnace - NEW'!Y17+'Res .95+% Res Furnace - Replace'!Y17+'Res Water Heating .67 EF'!Y17+'Programmable Thermostats'!Y17+'Comm 95+ Furnace - New'!Y17+'Comm 95+% Furnace - Replace'!Y17+Custom!Y17,0)</f>
        <v>0</v>
      </c>
      <c r="Z17" s="31">
        <f>+ROUND('Res .95+% Res Furnace - NEW'!Z17+'Res .95+% Res Furnace - Replace'!Z17+'Res Water Heating .67 EF'!Z17+'Programmable Thermostats'!Z17+'Comm 95+ Furnace - New'!Z17+'Comm 95+% Furnace - Replace'!Z17+Custom!Z17,0)</f>
        <v>0</v>
      </c>
      <c r="AA17" s="159">
        <f t="shared" si="14"/>
        <v>5484</v>
      </c>
      <c r="AB17" s="15">
        <f t="shared" si="15"/>
        <v>12932</v>
      </c>
      <c r="AE17" s="11">
        <f t="shared" si="16"/>
        <v>2018</v>
      </c>
      <c r="AF17" s="63">
        <f t="shared" si="2"/>
        <v>12154</v>
      </c>
      <c r="AG17" s="27">
        <f t="shared" si="3"/>
        <v>6262</v>
      </c>
      <c r="AH17" s="63">
        <f t="shared" si="30"/>
        <v>18416</v>
      </c>
      <c r="AJ17" s="54">
        <f t="shared" si="17"/>
        <v>0</v>
      </c>
      <c r="AK17" s="54">
        <f t="shared" si="17"/>
        <v>0</v>
      </c>
      <c r="AL17" s="49">
        <f t="shared" si="4"/>
        <v>0</v>
      </c>
      <c r="AN17" s="108">
        <f t="shared" si="5"/>
        <v>18416</v>
      </c>
      <c r="AQ17" s="11">
        <f t="shared" si="18"/>
        <v>2018</v>
      </c>
      <c r="AR17" s="63">
        <f t="shared" si="6"/>
        <v>12154</v>
      </c>
      <c r="AS17" s="63">
        <f t="shared" si="7"/>
        <v>6262</v>
      </c>
      <c r="AT17" s="15">
        <f t="shared" si="7"/>
        <v>18416</v>
      </c>
      <c r="AU17" s="31">
        <f>+ROUND('Res .95+% Res Furnace - NEW'!AT17+'Res .95+% Res Furnace - Replace'!AU17+'Res Water Heating .67 EF'!AU17+'Programmable Thermostats'!AU17+'Comm 95+ Furnace - New'!AU17+'Comm 95+% Furnace - Replace'!AU17+Custom!AU17,0)</f>
        <v>6546</v>
      </c>
      <c r="AV17" s="31">
        <f>+ROUND('Res .95+% Res Furnace - NEW'!AU17+'Res .95+% Res Furnace - Replace'!AV17+'Res Water Heating .67 EF'!AV17+'Programmable Thermostats'!AV17+'Comm 95+ Furnace - New'!AV17+'Comm 95+% Furnace - Replace'!AV17+Custom!AV17,0)</f>
        <v>3</v>
      </c>
      <c r="AW17" s="31">
        <f>+ROUND('Res .95+% Res Furnace - NEW'!AV17+'Res .95+% Res Furnace - Replace'!AW17+'Res Water Heating .67 EF'!AW17+'Programmable Thermostats'!AW17+'Comm 95+ Furnace - New'!AW17+'Comm 95+% Furnace - Replace'!AW17+Custom!AW17,0)</f>
        <v>1629</v>
      </c>
      <c r="AX17" s="134"/>
      <c r="AY17" s="135"/>
      <c r="AZ17" s="63">
        <f t="shared" si="19"/>
        <v>26591</v>
      </c>
      <c r="BA17" s="25"/>
      <c r="BB17" s="31">
        <f>+ROUND('Res .95+% Res Furnace - NEW'!BA17+'Res .95+% Res Furnace - Replace'!BB17+'Res Water Heating .67 EF'!BB17+'Programmable Thermostats'!BB17+'Comm 95+ Furnace - New'!BB17+'Comm 95+% Furnace - Replace'!BB17+Custom!BB17,0)</f>
        <v>0</v>
      </c>
      <c r="BC17" s="31">
        <f>+ROUND('Res .95+% Res Furnace - NEW'!BB17+'Res .95+% Res Furnace - Replace'!BC17+'Res Water Heating .67 EF'!BC17+'Programmable Thermostats'!BC17+'Comm 95+ Furnace - New'!BC17+'Comm 95+% Furnace - Replace'!BC17+Custom!BC17,0)</f>
        <v>0</v>
      </c>
      <c r="BD17" s="64">
        <f t="shared" si="20"/>
        <v>0</v>
      </c>
      <c r="BE17" s="63">
        <f t="shared" si="8"/>
        <v>26591</v>
      </c>
      <c r="BH17" s="11">
        <f t="shared" si="21"/>
        <v>2018</v>
      </c>
      <c r="BI17" s="31">
        <f>+ROUND('Res .95+% Res Furnace - NEW'!BH17+'Res .95+% Res Furnace - Replace'!BI17+'Res Water Heating .67 EF'!BI17+'Programmable Thermostats'!BI17+'Comm 95+ Furnace - New'!BI17+'Comm 95+% Furnace - Replace'!BI17+Custom!BI17,0)</f>
        <v>0</v>
      </c>
      <c r="BJ17" s="31">
        <f>+ROUND('Res .95+% Res Furnace - NEW'!BI17+'Res .95+% Res Furnace - Replace'!BJ17+'Res Water Heating .67 EF'!BJ17+'Programmable Thermostats'!BJ17+'Comm 95+ Furnace - New'!BJ17+'Comm 95+% Furnace - Replace'!BJ17+Custom!BJ17,0)</f>
        <v>4254</v>
      </c>
      <c r="BK17" s="31">
        <f>+ROUND('Res .95+% Res Furnace - NEW'!BJ17+'Res .95+% Res Furnace - Replace'!BK17+'Res Water Heating .67 EF'!BK17+'Programmable Thermostats'!BK17+'Comm 95+ Furnace - New'!BK17+'Comm 95+% Furnace - Replace'!BK17+Custom!BK17,0)</f>
        <v>46</v>
      </c>
      <c r="BL17" s="31">
        <f>+ROUND('Res .95+% Res Furnace - NEW'!BK17+'Res .95+% Res Furnace - Replace'!BL17+'Res Water Heating .67 EF'!BL17+'Programmable Thermostats'!BL17+'Comm 95+ Furnace - New'!BL17+'Comm 95+% Furnace - Replace'!BL17+Custom!BL17,0)</f>
        <v>29076</v>
      </c>
      <c r="BM17" s="31">
        <f>+ROUND('Res .95+% Res Furnace - NEW'!BL17+'Res .95+% Res Furnace - Replace'!BM17+'Res Water Heating .67 EF'!BM17+'Programmable Thermostats'!BM17+'Comm 95+ Furnace - New'!BM17+'Comm 95+% Furnace - Replace'!BM17+Custom!BM17,0)</f>
        <v>1</v>
      </c>
      <c r="BN17" s="31">
        <f>+ROUND('Res .95+% Res Furnace - NEW'!BM17+'Res .95+% Res Furnace - Replace'!BN17+'Res Water Heating .67 EF'!BN17+'Programmable Thermostats'!BN17+'Comm 95+ Furnace - New'!BN17+'Comm 95+% Furnace - Replace'!BN17+Custom!BN17,0)</f>
        <v>41010</v>
      </c>
      <c r="BO17" s="124"/>
      <c r="BP17" s="63">
        <f t="shared" si="9"/>
        <v>70086</v>
      </c>
      <c r="BR17" s="31">
        <f>+ROUND('Res .95+% Res Furnace - NEW'!BQ17+'Res .95+% Res Furnace - Replace'!BR17+'Res Water Heating .67 EF'!BR17+'Programmable Thermostats'!BR17+'Comm 95+ Furnace - New'!BR17+'Comm 95+% Furnace - Replace'!BR17+Custom!BR17,0)</f>
        <v>0</v>
      </c>
      <c r="BS17" s="63"/>
      <c r="BT17" s="15">
        <f t="shared" si="22"/>
        <v>70086</v>
      </c>
      <c r="BW17" s="11">
        <f t="shared" si="23"/>
        <v>2018</v>
      </c>
      <c r="BX17" s="63">
        <f t="shared" si="10"/>
        <v>12154</v>
      </c>
      <c r="BY17" s="20">
        <f t="shared" si="24"/>
        <v>6262</v>
      </c>
      <c r="BZ17" s="169">
        <f t="shared" si="25"/>
        <v>6546</v>
      </c>
      <c r="CA17" s="63">
        <f t="shared" si="26"/>
        <v>24962</v>
      </c>
      <c r="CC17" s="63">
        <f t="shared" si="27"/>
        <v>0</v>
      </c>
      <c r="CD17" s="63">
        <f t="shared" si="27"/>
        <v>0</v>
      </c>
      <c r="CE17" s="63">
        <f t="shared" si="28"/>
        <v>0</v>
      </c>
      <c r="CF17" s="63"/>
      <c r="CG17" s="15">
        <f t="shared" si="29"/>
        <v>24962</v>
      </c>
    </row>
    <row r="18" spans="1:106">
      <c r="A18" s="3" t="s">
        <v>18</v>
      </c>
      <c r="C18" s="19"/>
      <c r="E18" s="2" t="s">
        <v>65</v>
      </c>
      <c r="F18" s="164"/>
      <c r="G18" s="164"/>
      <c r="H18" s="164"/>
      <c r="J18" s="4">
        <f t="shared" si="11"/>
        <v>5</v>
      </c>
      <c r="L18" s="11">
        <f t="shared" si="12"/>
        <v>2019</v>
      </c>
      <c r="M18" s="31">
        <f>+ROUND('Res .95+% Res Furnace - NEW'!M18+'Res .95+% Res Furnace - Replace'!M18+'Res Water Heating .67 EF'!M18+'Programmable Thermostats'!M18+'Comm 95+ Furnace - New'!M18+'Comm 95+% Furnace - Replace'!M18+Custom!M18,0)</f>
        <v>4254</v>
      </c>
      <c r="N18" s="31">
        <f>+ROUND('Res .95+% Res Furnace - NEW'!N18+'Res .95+% Res Furnace - Replace'!N18+'Res Water Heating .67 EF'!N18+'Programmable Thermostats'!N18+'Comm 95+ Furnace - New'!N18+'Comm 95+% Furnace - Replace'!N18+Custom!N18,0)</f>
        <v>21</v>
      </c>
      <c r="O18" s="31">
        <f>+ROUND('Res .95+% Res Furnace - NEW'!O18+'Res .95+% Res Furnace - Replace'!O18+'Res Water Heating .67 EF'!O18+'Programmable Thermostats'!O18+'Comm 95+ Furnace - New'!O18+'Comm 95+% Furnace - Replace'!O18+Custom!O18,0)</f>
        <v>12579</v>
      </c>
      <c r="P18" s="31">
        <f>+ROUND('Res .95+% Res Furnace - NEW'!P18+'Res .95+% Res Furnace - Replace'!P18+'Res Water Heating .67 EF'!P18+'Programmable Thermostats'!P18+'Comm 95+ Furnace - New'!P18+'Comm 95+% Furnace - Replace'!P18+Custom!P18,0)</f>
        <v>0</v>
      </c>
      <c r="Q18" s="31">
        <f>+ROUND('Res .95+% Res Furnace - NEW'!Q18+'Res .95+% Res Furnace - Replace'!Q18+'Res Water Heating .67 EF'!Q18+'Programmable Thermostats'!Q18+'Comm 95+ Furnace - New'!Q18+'Comm 95+% Furnace - Replace'!Q18+Custom!Q18,0)</f>
        <v>0</v>
      </c>
      <c r="R18" s="31">
        <f>+ROUND('Res .95+% Res Furnace - NEW'!R18+'Res .95+% Res Furnace - Replace'!R18+'Res Water Heating .67 EF'!R18+'Programmable Thermostats'!R18+'Comm 95+ Furnace - New'!R18+'Comm 95+% Furnace - Replace'!R18+Custom!R18,0)</f>
        <v>12579</v>
      </c>
      <c r="S18" s="31">
        <f>+ROUND('Res .95+% Res Furnace - NEW'!S18+'Res .95+% Res Furnace - Replace'!S18+'Res Water Heating .67 EF'!S18+'Programmable Thermostats'!S18+'Comm 95+ Furnace - New'!S18+'Comm 95+% Furnace - Replace'!S18+Custom!S18,0)</f>
        <v>43</v>
      </c>
      <c r="T18" s="31">
        <f>+ROUND('Res .95+% Res Furnace - NEW'!T18+'Res .95+% Res Furnace - Replace'!T18+'Res Water Heating .67 EF'!T18+'Programmable Thermostats'!T18+'Comm 95+ Furnace - New'!T18+'Comm 95+% Furnace - Replace'!T18+Custom!T18,0)</f>
        <v>1036</v>
      </c>
      <c r="U18" s="31">
        <f>+ROUND('Res .95+% Res Furnace - NEW'!U18+'Res .95+% Res Furnace - Replace'!U18+'Res Water Heating .67 EF'!U18+'Programmable Thermostats'!U18+'Comm 95+ Furnace - New'!U18+'Comm 95+% Furnace - Replace'!U18+Custom!U18,0)</f>
        <v>6305</v>
      </c>
      <c r="V18" s="31">
        <f t="shared" si="13"/>
        <v>18884</v>
      </c>
      <c r="W18" s="62"/>
      <c r="X18" s="31">
        <f>+ROUND('Res .95+% Res Furnace - NEW'!X18+'Res .95+% Res Furnace - Replace'!X18+'Res Water Heating .67 EF'!X18+'Programmable Thermostats'!X18+'Comm 95+ Furnace - New'!X18+'Comm 95+% Furnace - Replace'!X18+Custom!X18,0)</f>
        <v>5676</v>
      </c>
      <c r="Y18" s="31">
        <f>+ROUND('Res .95+% Res Furnace - NEW'!Y18+'Res .95+% Res Furnace - Replace'!Y18+'Res Water Heating .67 EF'!Y18+'Programmable Thermostats'!Y18+'Comm 95+ Furnace - New'!Y18+'Comm 95+% Furnace - Replace'!Y18+Custom!Y18,0)</f>
        <v>0</v>
      </c>
      <c r="Z18" s="31">
        <f>+ROUND('Res .95+% Res Furnace - NEW'!Z18+'Res .95+% Res Furnace - Replace'!Z18+'Res Water Heating .67 EF'!Z18+'Programmable Thermostats'!Z18+'Comm 95+ Furnace - New'!Z18+'Comm 95+% Furnace - Replace'!Z18+Custom!Z18,0)</f>
        <v>0</v>
      </c>
      <c r="AA18" s="159">
        <f t="shared" si="14"/>
        <v>5676</v>
      </c>
      <c r="AB18" s="15">
        <f t="shared" si="15"/>
        <v>13208</v>
      </c>
      <c r="AE18" s="11">
        <f t="shared" si="16"/>
        <v>2019</v>
      </c>
      <c r="AF18" s="63">
        <f t="shared" si="2"/>
        <v>12579</v>
      </c>
      <c r="AG18" s="27">
        <f t="shared" si="3"/>
        <v>6305</v>
      </c>
      <c r="AH18" s="63">
        <f t="shared" si="30"/>
        <v>18884</v>
      </c>
      <c r="AJ18" s="54">
        <f t="shared" si="17"/>
        <v>0</v>
      </c>
      <c r="AK18" s="54">
        <f t="shared" si="17"/>
        <v>0</v>
      </c>
      <c r="AL18" s="49">
        <f t="shared" si="4"/>
        <v>0</v>
      </c>
      <c r="AN18" s="108">
        <f t="shared" si="5"/>
        <v>18884</v>
      </c>
      <c r="AQ18" s="11">
        <f t="shared" si="18"/>
        <v>2019</v>
      </c>
      <c r="AR18" s="63">
        <f t="shared" si="6"/>
        <v>12579</v>
      </c>
      <c r="AS18" s="63">
        <f t="shared" si="7"/>
        <v>6305</v>
      </c>
      <c r="AT18" s="15">
        <f t="shared" si="7"/>
        <v>18884</v>
      </c>
      <c r="AU18" s="31">
        <f>+ROUND('Res .95+% Res Furnace - NEW'!AT18+'Res .95+% Res Furnace - Replace'!AU18+'Res Water Heating .67 EF'!AU18+'Programmable Thermostats'!AU18+'Comm 95+ Furnace - New'!AU18+'Comm 95+% Furnace - Replace'!AU18+Custom!AU18,0)</f>
        <v>6799</v>
      </c>
      <c r="AV18" s="31">
        <f>+ROUND('Res .95+% Res Furnace - NEW'!AU18+'Res .95+% Res Furnace - Replace'!AV18+'Res Water Heating .67 EF'!AV18+'Programmable Thermostats'!AV18+'Comm 95+ Furnace - New'!AV18+'Comm 95+% Furnace - Replace'!AV18+Custom!AV18,0)</f>
        <v>3</v>
      </c>
      <c r="AW18" s="31">
        <f>+ROUND('Res .95+% Res Furnace - NEW'!AV18+'Res .95+% Res Furnace - Replace'!AW18+'Res Water Heating .67 EF'!AW18+'Programmable Thermostats'!AW18+'Comm 95+ Furnace - New'!AW18+'Comm 95+% Furnace - Replace'!AW18+Custom!AW18,0)</f>
        <v>1668</v>
      </c>
      <c r="AX18" s="134"/>
      <c r="AY18" s="135"/>
      <c r="AZ18" s="63">
        <f t="shared" si="19"/>
        <v>27351</v>
      </c>
      <c r="BA18" s="25"/>
      <c r="BB18" s="31">
        <f>+ROUND('Res .95+% Res Furnace - NEW'!BA18+'Res .95+% Res Furnace - Replace'!BB18+'Res Water Heating .67 EF'!BB18+'Programmable Thermostats'!BB18+'Comm 95+ Furnace - New'!BB18+'Comm 95+% Furnace - Replace'!BB18+Custom!BB18,0)</f>
        <v>0</v>
      </c>
      <c r="BC18" s="31">
        <f>+ROUND('Res .95+% Res Furnace - NEW'!BB18+'Res .95+% Res Furnace - Replace'!BC18+'Res Water Heating .67 EF'!BC18+'Programmable Thermostats'!BC18+'Comm 95+ Furnace - New'!BC18+'Comm 95+% Furnace - Replace'!BC18+Custom!BC18,0)</f>
        <v>0</v>
      </c>
      <c r="BD18" s="64">
        <f t="shared" si="20"/>
        <v>0</v>
      </c>
      <c r="BE18" s="63">
        <f t="shared" si="8"/>
        <v>27351</v>
      </c>
      <c r="BH18" s="11">
        <f t="shared" si="21"/>
        <v>2019</v>
      </c>
      <c r="BI18" s="31">
        <f>+ROUND('Res .95+% Res Furnace - NEW'!BH18+'Res .95+% Res Furnace - Replace'!BI18+'Res Water Heating .67 EF'!BI18+'Programmable Thermostats'!BI18+'Comm 95+ Furnace - New'!BI18+'Comm 95+% Furnace - Replace'!BI18+Custom!BI18,0)</f>
        <v>0</v>
      </c>
      <c r="BJ18" s="31">
        <f>+ROUND('Res .95+% Res Furnace - NEW'!BI18+'Res .95+% Res Furnace - Replace'!BJ18+'Res Water Heating .67 EF'!BJ18+'Programmable Thermostats'!BJ18+'Comm 95+ Furnace - New'!BJ18+'Comm 95+% Furnace - Replace'!BJ18+Custom!BJ18,0)</f>
        <v>4254</v>
      </c>
      <c r="BK18" s="31">
        <f>+ROUND('Res .95+% Res Furnace - NEW'!BJ18+'Res .95+% Res Furnace - Replace'!BK18+'Res Water Heating .67 EF'!BK18+'Programmable Thermostats'!BK18+'Comm 95+ Furnace - New'!BK18+'Comm 95+% Furnace - Replace'!BK18+Custom!BK18,0)</f>
        <v>48</v>
      </c>
      <c r="BL18" s="31">
        <f>+ROUND('Res .95+% Res Furnace - NEW'!BK18+'Res .95+% Res Furnace - Replace'!BL18+'Res Water Heating .67 EF'!BL18+'Programmable Thermostats'!BL18+'Comm 95+ Furnace - New'!BL18+'Comm 95+% Furnace - Replace'!BL18+Custom!BL18,0)</f>
        <v>30095</v>
      </c>
      <c r="BM18" s="31">
        <f>+ROUND('Res .95+% Res Furnace - NEW'!BL18+'Res .95+% Res Furnace - Replace'!BM18+'Res Water Heating .67 EF'!BM18+'Programmable Thermostats'!BM18+'Comm 95+ Furnace - New'!BM18+'Comm 95+% Furnace - Replace'!BM18+Custom!BM18,0)</f>
        <v>1</v>
      </c>
      <c r="BN18" s="31">
        <f>+ROUND('Res .95+% Res Furnace - NEW'!BM18+'Res .95+% Res Furnace - Replace'!BN18+'Res Water Heating .67 EF'!BN18+'Programmable Thermostats'!BN18+'Comm 95+ Furnace - New'!BN18+'Comm 95+% Furnace - Replace'!BN18+Custom!BN18,0)</f>
        <v>42516</v>
      </c>
      <c r="BO18" s="124"/>
      <c r="BP18" s="63">
        <f t="shared" si="9"/>
        <v>72611</v>
      </c>
      <c r="BR18" s="31">
        <f>+ROUND('Res .95+% Res Furnace - NEW'!BQ18+'Res .95+% Res Furnace - Replace'!BR18+'Res Water Heating .67 EF'!BR18+'Programmable Thermostats'!BR18+'Comm 95+ Furnace - New'!BR18+'Comm 95+% Furnace - Replace'!BR18+Custom!BR18,0)</f>
        <v>0</v>
      </c>
      <c r="BS18" s="63"/>
      <c r="BT18" s="15">
        <f t="shared" si="22"/>
        <v>72611</v>
      </c>
      <c r="BW18" s="11">
        <f t="shared" si="23"/>
        <v>2019</v>
      </c>
      <c r="BX18" s="63">
        <f t="shared" si="10"/>
        <v>12579</v>
      </c>
      <c r="BY18" s="20">
        <f t="shared" si="24"/>
        <v>6305</v>
      </c>
      <c r="BZ18" s="169">
        <f t="shared" si="25"/>
        <v>6799</v>
      </c>
      <c r="CA18" s="63">
        <f t="shared" si="26"/>
        <v>25683</v>
      </c>
      <c r="CC18" s="63">
        <f t="shared" si="27"/>
        <v>0</v>
      </c>
      <c r="CD18" s="63">
        <f t="shared" si="27"/>
        <v>0</v>
      </c>
      <c r="CE18" s="63">
        <f t="shared" si="28"/>
        <v>0</v>
      </c>
      <c r="CF18" s="63"/>
      <c r="CG18" s="15">
        <f t="shared" si="29"/>
        <v>25683</v>
      </c>
      <c r="DB18" s="6" t="s">
        <v>42</v>
      </c>
    </row>
    <row r="19" spans="1:106">
      <c r="C19" s="3"/>
      <c r="J19" s="4">
        <f t="shared" si="11"/>
        <v>6</v>
      </c>
      <c r="L19" s="11">
        <f t="shared" si="12"/>
        <v>2020</v>
      </c>
      <c r="M19" s="31">
        <f>+ROUND('Res .95+% Res Furnace - NEW'!M19+'Res .95+% Res Furnace - Replace'!M19+'Res Water Heating .67 EF'!M19+'Programmable Thermostats'!M19+'Comm 95+ Furnace - New'!M19+'Comm 95+% Furnace - Replace'!M19+Custom!M19,0)</f>
        <v>4254</v>
      </c>
      <c r="N19" s="31">
        <f>+ROUND('Res .95+% Res Furnace - NEW'!N19+'Res .95+% Res Furnace - Replace'!N19+'Res Water Heating .67 EF'!N19+'Programmable Thermostats'!N19+'Comm 95+ Furnace - New'!N19+'Comm 95+% Furnace - Replace'!N19+Custom!N19,0)</f>
        <v>21</v>
      </c>
      <c r="O19" s="31">
        <f>+ROUND('Res .95+% Res Furnace - NEW'!O19+'Res .95+% Res Furnace - Replace'!O19+'Res Water Heating .67 EF'!O19+'Programmable Thermostats'!O19+'Comm 95+ Furnace - New'!O19+'Comm 95+% Furnace - Replace'!O19+Custom!O19,0)</f>
        <v>13021</v>
      </c>
      <c r="P19" s="31">
        <f>+ROUND('Res .95+% Res Furnace - NEW'!P19+'Res .95+% Res Furnace - Replace'!P19+'Res Water Heating .67 EF'!P19+'Programmable Thermostats'!P19+'Comm 95+ Furnace - New'!P19+'Comm 95+% Furnace - Replace'!P19+Custom!P19,0)</f>
        <v>0</v>
      </c>
      <c r="Q19" s="31">
        <f>+ROUND('Res .95+% Res Furnace - NEW'!Q19+'Res .95+% Res Furnace - Replace'!Q19+'Res Water Heating .67 EF'!Q19+'Programmable Thermostats'!Q19+'Comm 95+ Furnace - New'!Q19+'Comm 95+% Furnace - Replace'!Q19+Custom!Q19,0)</f>
        <v>0</v>
      </c>
      <c r="R19" s="31">
        <f>+ROUND('Res .95+% Res Furnace - NEW'!R19+'Res .95+% Res Furnace - Replace'!R19+'Res Water Heating .67 EF'!R19+'Programmable Thermostats'!R19+'Comm 95+ Furnace - New'!R19+'Comm 95+% Furnace - Replace'!R19+Custom!R19,0)</f>
        <v>13021</v>
      </c>
      <c r="S19" s="31">
        <f>+ROUND('Res .95+% Res Furnace - NEW'!S19+'Res .95+% Res Furnace - Replace'!S19+'Res Water Heating .67 EF'!S19+'Programmable Thermostats'!S19+'Comm 95+ Furnace - New'!S19+'Comm 95+% Furnace - Replace'!S19+Custom!S19,0)</f>
        <v>43</v>
      </c>
      <c r="T19" s="31">
        <f>+ROUND('Res .95+% Res Furnace - NEW'!T19+'Res .95+% Res Furnace - Replace'!T19+'Res Water Heating .67 EF'!T19+'Programmable Thermostats'!T19+'Comm 95+ Furnace - New'!T19+'Comm 95+% Furnace - Replace'!T19+Custom!T19,0)</f>
        <v>1043</v>
      </c>
      <c r="U19" s="31">
        <f>+ROUND('Res .95+% Res Furnace - NEW'!U19+'Res .95+% Res Furnace - Replace'!U19+'Res Water Heating .67 EF'!U19+'Programmable Thermostats'!U19+'Comm 95+ Furnace - New'!U19+'Comm 95+% Furnace - Replace'!U19+Custom!U19,0)</f>
        <v>6348</v>
      </c>
      <c r="V19" s="31">
        <f t="shared" si="13"/>
        <v>19369</v>
      </c>
      <c r="W19" s="62"/>
      <c r="X19" s="31">
        <f>+ROUND('Res .95+% Res Furnace - NEW'!X19+'Res .95+% Res Furnace - Replace'!X19+'Res Water Heating .67 EF'!X19+'Programmable Thermostats'!X19+'Comm 95+ Furnace - New'!X19+'Comm 95+% Furnace - Replace'!X19+Custom!X19,0)</f>
        <v>5875</v>
      </c>
      <c r="Y19" s="31">
        <f>+ROUND('Res .95+% Res Furnace - NEW'!Y19+'Res .95+% Res Furnace - Replace'!Y19+'Res Water Heating .67 EF'!Y19+'Programmable Thermostats'!Y19+'Comm 95+ Furnace - New'!Y19+'Comm 95+% Furnace - Replace'!Y19+Custom!Y19,0)</f>
        <v>0</v>
      </c>
      <c r="Z19" s="31">
        <f>+ROUND('Res .95+% Res Furnace - NEW'!Z19+'Res .95+% Res Furnace - Replace'!Z19+'Res Water Heating .67 EF'!Z19+'Programmable Thermostats'!Z19+'Comm 95+ Furnace - New'!Z19+'Comm 95+% Furnace - Replace'!Z19+Custom!Z19,0)</f>
        <v>0</v>
      </c>
      <c r="AA19" s="159">
        <f t="shared" si="14"/>
        <v>5875</v>
      </c>
      <c r="AB19" s="15">
        <f t="shared" si="15"/>
        <v>13494</v>
      </c>
      <c r="AE19" s="11">
        <f t="shared" si="16"/>
        <v>2020</v>
      </c>
      <c r="AF19" s="63">
        <f t="shared" si="2"/>
        <v>13021</v>
      </c>
      <c r="AG19" s="27">
        <f t="shared" si="3"/>
        <v>6348</v>
      </c>
      <c r="AH19" s="63">
        <f t="shared" si="30"/>
        <v>19369</v>
      </c>
      <c r="AJ19" s="54">
        <f t="shared" si="17"/>
        <v>0</v>
      </c>
      <c r="AK19" s="54">
        <f t="shared" si="17"/>
        <v>0</v>
      </c>
      <c r="AL19" s="49">
        <f t="shared" si="4"/>
        <v>0</v>
      </c>
      <c r="AN19" s="108">
        <f t="shared" si="5"/>
        <v>19369</v>
      </c>
      <c r="AQ19" s="11">
        <f t="shared" si="18"/>
        <v>2020</v>
      </c>
      <c r="AR19" s="63">
        <f t="shared" si="6"/>
        <v>13021</v>
      </c>
      <c r="AS19" s="63">
        <f t="shared" si="7"/>
        <v>6348</v>
      </c>
      <c r="AT19" s="15">
        <f t="shared" si="7"/>
        <v>19369</v>
      </c>
      <c r="AU19" s="31">
        <f>+ROUND('Res .95+% Res Furnace - NEW'!AT19+'Res .95+% Res Furnace - Replace'!AU19+'Res Water Heating .67 EF'!AU19+'Programmable Thermostats'!AU19+'Comm 95+ Furnace - New'!AU19+'Comm 95+% Furnace - Replace'!AU19+Custom!AU19,0)</f>
        <v>7050</v>
      </c>
      <c r="AV19" s="31">
        <f>+ROUND('Res .95+% Res Furnace - NEW'!AU19+'Res .95+% Res Furnace - Replace'!AV19+'Res Water Heating .67 EF'!AV19+'Programmable Thermostats'!AV19+'Comm 95+ Furnace - New'!AV19+'Comm 95+% Furnace - Replace'!AV19+Custom!AV19,0)</f>
        <v>3</v>
      </c>
      <c r="AW19" s="31">
        <f>+ROUND('Res .95+% Res Furnace - NEW'!AV19+'Res .95+% Res Furnace - Replace'!AW19+'Res Water Heating .67 EF'!AW19+'Programmable Thermostats'!AW19+'Comm 95+ Furnace - New'!AW19+'Comm 95+% Furnace - Replace'!AW19+Custom!AW19,0)</f>
        <v>1705</v>
      </c>
      <c r="AX19" s="134"/>
      <c r="AY19" s="135"/>
      <c r="AZ19" s="63">
        <f t="shared" si="19"/>
        <v>28124</v>
      </c>
      <c r="BA19" s="25"/>
      <c r="BB19" s="31">
        <f>+ROUND('Res .95+% Res Furnace - NEW'!BA19+'Res .95+% Res Furnace - Replace'!BB19+'Res Water Heating .67 EF'!BB19+'Programmable Thermostats'!BB19+'Comm 95+ Furnace - New'!BB19+'Comm 95+% Furnace - Replace'!BB19+Custom!BB19,0)</f>
        <v>0</v>
      </c>
      <c r="BC19" s="31">
        <f>+ROUND('Res .95+% Res Furnace - NEW'!BB19+'Res .95+% Res Furnace - Replace'!BC19+'Res Water Heating .67 EF'!BC19+'Programmable Thermostats'!BC19+'Comm 95+ Furnace - New'!BC19+'Comm 95+% Furnace - Replace'!BC19+Custom!BC19,0)</f>
        <v>0</v>
      </c>
      <c r="BD19" s="64">
        <f t="shared" si="20"/>
        <v>0</v>
      </c>
      <c r="BE19" s="63">
        <f t="shared" si="8"/>
        <v>28124</v>
      </c>
      <c r="BH19" s="11">
        <f t="shared" si="21"/>
        <v>2020</v>
      </c>
      <c r="BI19" s="31">
        <f>+ROUND('Res .95+% Res Furnace - NEW'!BH19+'Res .95+% Res Furnace - Replace'!BI19+'Res Water Heating .67 EF'!BI19+'Programmable Thermostats'!BI19+'Comm 95+ Furnace - New'!BI19+'Comm 95+% Furnace - Replace'!BI19+Custom!BI19,0)</f>
        <v>0</v>
      </c>
      <c r="BJ19" s="31">
        <f>+ROUND('Res .95+% Res Furnace - NEW'!BI19+'Res .95+% Res Furnace - Replace'!BJ19+'Res Water Heating .67 EF'!BJ19+'Programmable Thermostats'!BJ19+'Comm 95+ Furnace - New'!BJ19+'Comm 95+% Furnace - Replace'!BJ19+Custom!BJ19,0)</f>
        <v>4254</v>
      </c>
      <c r="BK19" s="31">
        <f>+ROUND('Res .95+% Res Furnace - NEW'!BJ19+'Res .95+% Res Furnace - Replace'!BK19+'Res Water Heating .67 EF'!BK19+'Programmable Thermostats'!BK19+'Comm 95+ Furnace - New'!BK19+'Comm 95+% Furnace - Replace'!BK19+Custom!BK19,0)</f>
        <v>50</v>
      </c>
      <c r="BL19" s="31">
        <f>+ROUND('Res .95+% Res Furnace - NEW'!BK19+'Res .95+% Res Furnace - Replace'!BL19+'Res Water Heating .67 EF'!BL19+'Programmable Thermostats'!BL19+'Comm 95+ Furnace - New'!BL19+'Comm 95+% Furnace - Replace'!BL19+Custom!BL19,0)</f>
        <v>31147</v>
      </c>
      <c r="BM19" s="31">
        <f>+ROUND('Res .95+% Res Furnace - NEW'!BL19+'Res .95+% Res Furnace - Replace'!BM19+'Res Water Heating .67 EF'!BM19+'Programmable Thermostats'!BM19+'Comm 95+ Furnace - New'!BM19+'Comm 95+% Furnace - Replace'!BM19+Custom!BM19,0)</f>
        <v>1</v>
      </c>
      <c r="BN19" s="31">
        <f>+ROUND('Res .95+% Res Furnace - NEW'!BM19+'Res .95+% Res Furnace - Replace'!BN19+'Res Water Heating .67 EF'!BN19+'Programmable Thermostats'!BN19+'Comm 95+ Furnace - New'!BN19+'Comm 95+% Furnace - Replace'!BN19+Custom!BN19,0)</f>
        <v>44027</v>
      </c>
      <c r="BO19" s="124"/>
      <c r="BP19" s="63">
        <f t="shared" si="9"/>
        <v>75174</v>
      </c>
      <c r="BR19" s="31">
        <f>+ROUND('Res .95+% Res Furnace - NEW'!BQ19+'Res .95+% Res Furnace - Replace'!BR19+'Res Water Heating .67 EF'!BR19+'Programmable Thermostats'!BR19+'Comm 95+ Furnace - New'!BR19+'Comm 95+% Furnace - Replace'!BR19+Custom!BR19,0)</f>
        <v>0</v>
      </c>
      <c r="BS19" s="63"/>
      <c r="BT19" s="15">
        <f t="shared" si="22"/>
        <v>75174</v>
      </c>
      <c r="BW19" s="11">
        <f t="shared" si="23"/>
        <v>2020</v>
      </c>
      <c r="BX19" s="63">
        <f t="shared" si="10"/>
        <v>13021</v>
      </c>
      <c r="BY19" s="20">
        <f t="shared" si="24"/>
        <v>6348</v>
      </c>
      <c r="BZ19" s="169">
        <f t="shared" si="25"/>
        <v>7050</v>
      </c>
      <c r="CA19" s="63">
        <f t="shared" si="26"/>
        <v>26419</v>
      </c>
      <c r="CC19" s="63">
        <f t="shared" si="27"/>
        <v>0</v>
      </c>
      <c r="CD19" s="63">
        <f t="shared" si="27"/>
        <v>0</v>
      </c>
      <c r="CE19" s="63">
        <f t="shared" si="28"/>
        <v>0</v>
      </c>
      <c r="CF19" s="63"/>
      <c r="CG19" s="15">
        <f t="shared" si="29"/>
        <v>26419</v>
      </c>
    </row>
    <row r="20" spans="1:106">
      <c r="A20" s="3" t="s">
        <v>66</v>
      </c>
      <c r="C20" s="24"/>
      <c r="E20" s="3" t="s">
        <v>67</v>
      </c>
      <c r="F20" s="18"/>
      <c r="G20" s="18"/>
      <c r="H20" s="18"/>
      <c r="J20" s="4">
        <f t="shared" si="11"/>
        <v>7</v>
      </c>
      <c r="L20" s="11">
        <f t="shared" si="12"/>
        <v>2021</v>
      </c>
      <c r="M20" s="31">
        <f>+ROUND('Res .95+% Res Furnace - NEW'!M20+'Res .95+% Res Furnace - Replace'!M20+'Res Water Heating .67 EF'!M20+'Programmable Thermostats'!M20+'Comm 95+ Furnace - New'!M20+'Comm 95+% Furnace - Replace'!M20+Custom!M20,0)</f>
        <v>4254</v>
      </c>
      <c r="N20" s="31">
        <f>+ROUND('Res .95+% Res Furnace - NEW'!N20+'Res .95+% Res Furnace - Replace'!N20+'Res Water Heating .67 EF'!N20+'Programmable Thermostats'!N20+'Comm 95+ Furnace - New'!N20+'Comm 95+% Furnace - Replace'!N20+Custom!N20,0)</f>
        <v>22</v>
      </c>
      <c r="O20" s="31">
        <f>+ROUND('Res .95+% Res Furnace - NEW'!O20+'Res .95+% Res Furnace - Replace'!O20+'Res Water Heating .67 EF'!O20+'Programmable Thermostats'!O20+'Comm 95+ Furnace - New'!O20+'Comm 95+% Furnace - Replace'!O20+Custom!O20,0)</f>
        <v>13476</v>
      </c>
      <c r="P20" s="31">
        <f>+ROUND('Res .95+% Res Furnace - NEW'!P20+'Res .95+% Res Furnace - Replace'!P20+'Res Water Heating .67 EF'!P20+'Programmable Thermostats'!P20+'Comm 95+ Furnace - New'!P20+'Comm 95+% Furnace - Replace'!P20+Custom!P20,0)</f>
        <v>0</v>
      </c>
      <c r="Q20" s="31">
        <f>+ROUND('Res .95+% Res Furnace - NEW'!Q20+'Res .95+% Res Furnace - Replace'!Q20+'Res Water Heating .67 EF'!Q20+'Programmable Thermostats'!Q20+'Comm 95+ Furnace - New'!Q20+'Comm 95+% Furnace - Replace'!Q20+Custom!Q20,0)</f>
        <v>0</v>
      </c>
      <c r="R20" s="31">
        <f>+ROUND('Res .95+% Res Furnace - NEW'!R20+'Res .95+% Res Furnace - Replace'!R20+'Res Water Heating .67 EF'!R20+'Programmable Thermostats'!R20+'Comm 95+ Furnace - New'!R20+'Comm 95+% Furnace - Replace'!R20+Custom!R20,0)</f>
        <v>13476</v>
      </c>
      <c r="S20" s="31">
        <f>+ROUND('Res .95+% Res Furnace - NEW'!S20+'Res .95+% Res Furnace - Replace'!S20+'Res Water Heating .67 EF'!S20+'Programmable Thermostats'!S20+'Comm 95+ Furnace - New'!S20+'Comm 95+% Furnace - Replace'!S20+Custom!S20,0)</f>
        <v>43</v>
      </c>
      <c r="T20" s="31">
        <f>+ROUND('Res .95+% Res Furnace - NEW'!T20+'Res .95+% Res Furnace - Replace'!T20+'Res Water Heating .67 EF'!T20+'Programmable Thermostats'!T20+'Comm 95+ Furnace - New'!T20+'Comm 95+% Furnace - Replace'!T20+Custom!T20,0)</f>
        <v>1057</v>
      </c>
      <c r="U20" s="31">
        <f>+ROUND('Res .95+% Res Furnace - NEW'!U20+'Res .95+% Res Furnace - Replace'!U20+'Res Water Heating .67 EF'!U20+'Programmable Thermostats'!U20+'Comm 95+ Furnace - New'!U20+'Comm 95+% Furnace - Replace'!U20+Custom!U20,0)</f>
        <v>6433</v>
      </c>
      <c r="V20" s="31">
        <f t="shared" si="13"/>
        <v>19909</v>
      </c>
      <c r="W20" s="62"/>
      <c r="X20" s="31">
        <f>+ROUND('Res .95+% Res Furnace - NEW'!X20+'Res .95+% Res Furnace - Replace'!X20+'Res Water Heating .67 EF'!X20+'Programmable Thermostats'!X20+'Comm 95+ Furnace - New'!X20+'Comm 95+% Furnace - Replace'!X20+Custom!X20,0)</f>
        <v>6081</v>
      </c>
      <c r="Y20" s="31">
        <f>+ROUND('Res .95+% Res Furnace - NEW'!Y20+'Res .95+% Res Furnace - Replace'!Y20+'Res Water Heating .67 EF'!Y20+'Programmable Thermostats'!Y20+'Comm 95+ Furnace - New'!Y20+'Comm 95+% Furnace - Replace'!Y20+Custom!Y20,0)</f>
        <v>0</v>
      </c>
      <c r="Z20" s="31">
        <f>+ROUND('Res .95+% Res Furnace - NEW'!Z20+'Res .95+% Res Furnace - Replace'!Z20+'Res Water Heating .67 EF'!Z20+'Programmable Thermostats'!Z20+'Comm 95+ Furnace - New'!Z20+'Comm 95+% Furnace - Replace'!Z20+Custom!Z20,0)</f>
        <v>0</v>
      </c>
      <c r="AA20" s="159">
        <f t="shared" si="14"/>
        <v>6081</v>
      </c>
      <c r="AB20" s="15">
        <f t="shared" si="15"/>
        <v>13828</v>
      </c>
      <c r="AE20" s="11">
        <f t="shared" si="16"/>
        <v>2021</v>
      </c>
      <c r="AF20" s="63">
        <f t="shared" si="2"/>
        <v>13476</v>
      </c>
      <c r="AG20" s="27">
        <f t="shared" si="3"/>
        <v>6433</v>
      </c>
      <c r="AH20" s="63">
        <f t="shared" si="30"/>
        <v>19909</v>
      </c>
      <c r="AJ20" s="54">
        <f t="shared" si="17"/>
        <v>0</v>
      </c>
      <c r="AK20" s="54">
        <f t="shared" si="17"/>
        <v>0</v>
      </c>
      <c r="AL20" s="49">
        <f t="shared" si="4"/>
        <v>0</v>
      </c>
      <c r="AN20" s="108">
        <f t="shared" si="5"/>
        <v>19909</v>
      </c>
      <c r="AQ20" s="11">
        <f t="shared" si="18"/>
        <v>2021</v>
      </c>
      <c r="AR20" s="63">
        <f t="shared" si="6"/>
        <v>13476</v>
      </c>
      <c r="AS20" s="63">
        <f t="shared" si="7"/>
        <v>6433</v>
      </c>
      <c r="AT20" s="15">
        <f t="shared" si="7"/>
        <v>19909</v>
      </c>
      <c r="AU20" s="31">
        <f>+ROUND('Res .95+% Res Furnace - NEW'!AT20+'Res .95+% Res Furnace - Replace'!AU20+'Res Water Heating .67 EF'!AU20+'Programmable Thermostats'!AU20+'Comm 95+ Furnace - New'!AU20+'Comm 95+% Furnace - Replace'!AU20+Custom!AU20,0)</f>
        <v>7302</v>
      </c>
      <c r="AV20" s="31">
        <f>+ROUND('Res .95+% Res Furnace - NEW'!AU20+'Res .95+% Res Furnace - Replace'!AV20+'Res Water Heating .67 EF'!AV20+'Programmable Thermostats'!AV20+'Comm 95+ Furnace - New'!AV20+'Comm 95+% Furnace - Replace'!AV20+Custom!AV20,0)</f>
        <v>3</v>
      </c>
      <c r="AW20" s="31">
        <f>+ROUND('Res .95+% Res Furnace - NEW'!AV20+'Res .95+% Res Furnace - Replace'!AW20+'Res Water Heating .67 EF'!AW20+'Programmable Thermostats'!AW20+'Comm 95+ Furnace - New'!AW20+'Comm 95+% Furnace - Replace'!AW20+Custom!AW20,0)</f>
        <v>1744</v>
      </c>
      <c r="AX20" s="134"/>
      <c r="AY20" s="135"/>
      <c r="AZ20" s="63">
        <f t="shared" si="19"/>
        <v>28955</v>
      </c>
      <c r="BA20" s="25"/>
      <c r="BB20" s="31">
        <f>+ROUND('Res .95+% Res Furnace - NEW'!BA20+'Res .95+% Res Furnace - Replace'!BB20+'Res Water Heating .67 EF'!BB20+'Programmable Thermostats'!BB20+'Comm 95+ Furnace - New'!BB20+'Comm 95+% Furnace - Replace'!BB20+Custom!BB20,0)</f>
        <v>0</v>
      </c>
      <c r="BC20" s="31">
        <f>+ROUND('Res .95+% Res Furnace - NEW'!BB20+'Res .95+% Res Furnace - Replace'!BC20+'Res Water Heating .67 EF'!BC20+'Programmable Thermostats'!BC20+'Comm 95+ Furnace - New'!BC20+'Comm 95+% Furnace - Replace'!BC20+Custom!BC20,0)</f>
        <v>0</v>
      </c>
      <c r="BD20" s="64">
        <f t="shared" si="20"/>
        <v>0</v>
      </c>
      <c r="BE20" s="63">
        <f t="shared" si="8"/>
        <v>28955</v>
      </c>
      <c r="BH20" s="11">
        <f t="shared" si="21"/>
        <v>2021</v>
      </c>
      <c r="BI20" s="31">
        <f>+ROUND('Res .95+% Res Furnace - NEW'!BH20+'Res .95+% Res Furnace - Replace'!BI20+'Res Water Heating .67 EF'!BI20+'Programmable Thermostats'!BI20+'Comm 95+ Furnace - New'!BI20+'Comm 95+% Furnace - Replace'!BI20+Custom!BI20,0)</f>
        <v>0</v>
      </c>
      <c r="BJ20" s="31">
        <f>+ROUND('Res .95+% Res Furnace - NEW'!BI20+'Res .95+% Res Furnace - Replace'!BJ20+'Res Water Heating .67 EF'!BJ20+'Programmable Thermostats'!BJ20+'Comm 95+ Furnace - New'!BJ20+'Comm 95+% Furnace - Replace'!BJ20+Custom!BJ20,0)</f>
        <v>4254</v>
      </c>
      <c r="BK20" s="31">
        <f>+ROUND('Res .95+% Res Furnace - NEW'!BJ20+'Res .95+% Res Furnace - Replace'!BK20+'Res Water Heating .67 EF'!BK20+'Programmable Thermostats'!BK20+'Comm 95+ Furnace - New'!BK20+'Comm 95+% Furnace - Replace'!BK20+Custom!BK20,0)</f>
        <v>52</v>
      </c>
      <c r="BL20" s="31">
        <f>+ROUND('Res .95+% Res Furnace - NEW'!BK20+'Res .95+% Res Furnace - Replace'!BL20+'Res Water Heating .67 EF'!BL20+'Programmable Thermostats'!BL20+'Comm 95+ Furnace - New'!BL20+'Comm 95+% Furnace - Replace'!BL20+Custom!BL20,0)</f>
        <v>32237</v>
      </c>
      <c r="BM20" s="31">
        <f>+ROUND('Res .95+% Res Furnace - NEW'!BL20+'Res .95+% Res Furnace - Replace'!BM20+'Res Water Heating .67 EF'!BM20+'Programmable Thermostats'!BM20+'Comm 95+ Furnace - New'!BM20+'Comm 95+% Furnace - Replace'!BM20+Custom!BM20,0)</f>
        <v>1</v>
      </c>
      <c r="BN20" s="31">
        <f>+ROUND('Res .95+% Res Furnace - NEW'!BM20+'Res .95+% Res Furnace - Replace'!BN20+'Res Water Heating .67 EF'!BN20+'Programmable Thermostats'!BN20+'Comm 95+ Furnace - New'!BN20+'Comm 95+% Furnace - Replace'!BN20+Custom!BN20,0)</f>
        <v>45537</v>
      </c>
      <c r="BO20" s="124"/>
      <c r="BP20" s="63">
        <f t="shared" si="9"/>
        <v>77774</v>
      </c>
      <c r="BR20" s="31">
        <f>+ROUND('Res .95+% Res Furnace - NEW'!BQ20+'Res .95+% Res Furnace - Replace'!BR20+'Res Water Heating .67 EF'!BR20+'Programmable Thermostats'!BR20+'Comm 95+ Furnace - New'!BR20+'Comm 95+% Furnace - Replace'!BR20+Custom!BR20,0)</f>
        <v>0</v>
      </c>
      <c r="BS20" s="63"/>
      <c r="BT20" s="15">
        <f t="shared" si="22"/>
        <v>77774</v>
      </c>
      <c r="BW20" s="11">
        <f t="shared" si="23"/>
        <v>2021</v>
      </c>
      <c r="BX20" s="63">
        <f t="shared" si="10"/>
        <v>13476</v>
      </c>
      <c r="BY20" s="20">
        <f t="shared" si="24"/>
        <v>6433</v>
      </c>
      <c r="BZ20" s="169">
        <f t="shared" si="25"/>
        <v>7302</v>
      </c>
      <c r="CA20" s="63">
        <f t="shared" si="26"/>
        <v>27211</v>
      </c>
      <c r="CC20" s="63">
        <f t="shared" si="27"/>
        <v>0</v>
      </c>
      <c r="CD20" s="63">
        <f t="shared" si="27"/>
        <v>0</v>
      </c>
      <c r="CE20" s="63">
        <f t="shared" si="28"/>
        <v>0</v>
      </c>
      <c r="CF20" s="63"/>
      <c r="CG20" s="15">
        <f t="shared" si="29"/>
        <v>27211</v>
      </c>
      <c r="DB20" s="11"/>
    </row>
    <row r="21" spans="1:106">
      <c r="A21" s="3" t="s">
        <v>18</v>
      </c>
      <c r="C21" s="19"/>
      <c r="E21" s="2" t="s">
        <v>65</v>
      </c>
      <c r="F21" s="164"/>
      <c r="G21" s="164"/>
      <c r="H21" s="164"/>
      <c r="J21" s="4">
        <f t="shared" si="11"/>
        <v>8</v>
      </c>
      <c r="L21" s="11">
        <f t="shared" si="12"/>
        <v>2022</v>
      </c>
      <c r="M21" s="31">
        <f>+ROUND('Res .95+% Res Furnace - NEW'!M21+'Res .95+% Res Furnace - Replace'!M21+'Res Water Heating .67 EF'!M21+'Programmable Thermostats'!M21+'Comm 95+ Furnace - New'!M21+'Comm 95+% Furnace - Replace'!M21+Custom!M21,0)</f>
        <v>4254</v>
      </c>
      <c r="N21" s="31">
        <f>+ROUND('Res .95+% Res Furnace - NEW'!N21+'Res .95+% Res Furnace - Replace'!N21+'Res Water Heating .67 EF'!N21+'Programmable Thermostats'!N21+'Comm 95+ Furnace - New'!N21+'Comm 95+% Furnace - Replace'!N21+Custom!N21,0)</f>
        <v>23</v>
      </c>
      <c r="O21" s="31">
        <f>+ROUND('Res .95+% Res Furnace - NEW'!O21+'Res .95+% Res Furnace - Replace'!O21+'Res Water Heating .67 EF'!O21+'Programmable Thermostats'!O21+'Comm 95+ Furnace - New'!O21+'Comm 95+% Furnace - Replace'!O21+Custom!O21,0)</f>
        <v>13949</v>
      </c>
      <c r="P21" s="31">
        <f>+ROUND('Res .95+% Res Furnace - NEW'!P21+'Res .95+% Res Furnace - Replace'!P21+'Res Water Heating .67 EF'!P21+'Programmable Thermostats'!P21+'Comm 95+ Furnace - New'!P21+'Comm 95+% Furnace - Replace'!P21+Custom!P21,0)</f>
        <v>0</v>
      </c>
      <c r="Q21" s="31">
        <f>+ROUND('Res .95+% Res Furnace - NEW'!Q21+'Res .95+% Res Furnace - Replace'!Q21+'Res Water Heating .67 EF'!Q21+'Programmable Thermostats'!Q21+'Comm 95+ Furnace - New'!Q21+'Comm 95+% Furnace - Replace'!Q21+Custom!Q21,0)</f>
        <v>0</v>
      </c>
      <c r="R21" s="31">
        <f>+ROUND('Res .95+% Res Furnace - NEW'!R21+'Res .95+% Res Furnace - Replace'!R21+'Res Water Heating .67 EF'!R21+'Programmable Thermostats'!R21+'Comm 95+ Furnace - New'!R21+'Comm 95+% Furnace - Replace'!R21+Custom!R21,0)</f>
        <v>13949</v>
      </c>
      <c r="S21" s="31">
        <f>+ROUND('Res .95+% Res Furnace - NEW'!S21+'Res .95+% Res Furnace - Replace'!S21+'Res Water Heating .67 EF'!S21+'Programmable Thermostats'!S21+'Comm 95+ Furnace - New'!S21+'Comm 95+% Furnace - Replace'!S21+Custom!S21,0)</f>
        <v>43</v>
      </c>
      <c r="T21" s="31">
        <f>+ROUND('Res .95+% Res Furnace - NEW'!T21+'Res .95+% Res Furnace - Replace'!T21+'Res Water Heating .67 EF'!T21+'Programmable Thermostats'!T21+'Comm 95+ Furnace - New'!T21+'Comm 95+% Furnace - Replace'!T21+Custom!T21,0)</f>
        <v>1064</v>
      </c>
      <c r="U21" s="31">
        <f>+ROUND('Res .95+% Res Furnace - NEW'!U21+'Res .95+% Res Furnace - Replace'!U21+'Res Water Heating .67 EF'!U21+'Programmable Thermostats'!U21+'Comm 95+ Furnace - New'!U21+'Comm 95+% Furnace - Replace'!U21+Custom!U21,0)</f>
        <v>6475</v>
      </c>
      <c r="V21" s="31">
        <f t="shared" si="13"/>
        <v>20424</v>
      </c>
      <c r="W21" s="62"/>
      <c r="X21" s="31">
        <f>+ROUND('Res .95+% Res Furnace - NEW'!X21+'Res .95+% Res Furnace - Replace'!X21+'Res Water Heating .67 EF'!X21+'Programmable Thermostats'!X21+'Comm 95+ Furnace - New'!X21+'Comm 95+% Furnace - Replace'!X21+Custom!X21,0)</f>
        <v>6294</v>
      </c>
      <c r="Y21" s="31">
        <f>+ROUND('Res .95+% Res Furnace - NEW'!Y21+'Res .95+% Res Furnace - Replace'!Y21+'Res Water Heating .67 EF'!Y21+'Programmable Thermostats'!Y21+'Comm 95+ Furnace - New'!Y21+'Comm 95+% Furnace - Replace'!Y21+Custom!Y21,0)</f>
        <v>0</v>
      </c>
      <c r="Z21" s="31">
        <f>+ROUND('Res .95+% Res Furnace - NEW'!Z21+'Res .95+% Res Furnace - Replace'!Z21+'Res Water Heating .67 EF'!Z21+'Programmable Thermostats'!Z21+'Comm 95+ Furnace - New'!Z21+'Comm 95+% Furnace - Replace'!Z21+Custom!Z21,0)</f>
        <v>0</v>
      </c>
      <c r="AA21" s="159">
        <f t="shared" si="14"/>
        <v>6294</v>
      </c>
      <c r="AB21" s="15">
        <f t="shared" si="15"/>
        <v>14130</v>
      </c>
      <c r="AE21" s="11">
        <f t="shared" si="16"/>
        <v>2022</v>
      </c>
      <c r="AF21" s="63">
        <f t="shared" si="2"/>
        <v>13949</v>
      </c>
      <c r="AG21" s="27">
        <f t="shared" si="3"/>
        <v>6475</v>
      </c>
      <c r="AH21" s="63">
        <f t="shared" si="30"/>
        <v>20424</v>
      </c>
      <c r="AJ21" s="54">
        <f t="shared" si="17"/>
        <v>0</v>
      </c>
      <c r="AK21" s="54">
        <f t="shared" si="17"/>
        <v>0</v>
      </c>
      <c r="AL21" s="49">
        <f t="shared" si="4"/>
        <v>0</v>
      </c>
      <c r="AN21" s="108">
        <f t="shared" si="5"/>
        <v>20424</v>
      </c>
      <c r="AQ21" s="11">
        <f t="shared" si="18"/>
        <v>2022</v>
      </c>
      <c r="AR21" s="63">
        <f t="shared" si="6"/>
        <v>13949</v>
      </c>
      <c r="AS21" s="63">
        <f t="shared" si="7"/>
        <v>6475</v>
      </c>
      <c r="AT21" s="15">
        <f t="shared" si="7"/>
        <v>20424</v>
      </c>
      <c r="AU21" s="31">
        <f>+ROUND('Res .95+% Res Furnace - NEW'!AT21+'Res .95+% Res Furnace - Replace'!AU21+'Res Water Heating .67 EF'!AU21+'Programmable Thermostats'!AU21+'Comm 95+ Furnace - New'!AU21+'Comm 95+% Furnace - Replace'!AU21+Custom!AU21,0)</f>
        <v>7555</v>
      </c>
      <c r="AV21" s="31">
        <f>+ROUND('Res .95+% Res Furnace - NEW'!AU21+'Res .95+% Res Furnace - Replace'!AV21+'Res Water Heating .67 EF'!AV21+'Programmable Thermostats'!AV21+'Comm 95+ Furnace - New'!AV21+'Comm 95+% Furnace - Replace'!AV21+Custom!AV21,0)</f>
        <v>3</v>
      </c>
      <c r="AW21" s="31">
        <f>+ROUND('Res .95+% Res Furnace - NEW'!AV21+'Res .95+% Res Furnace - Replace'!AW21+'Res Water Heating .67 EF'!AW21+'Programmable Thermostats'!AW21+'Comm 95+ Furnace - New'!AW21+'Comm 95+% Furnace - Replace'!AW21+Custom!AW21,0)</f>
        <v>1787</v>
      </c>
      <c r="AX21" s="134"/>
      <c r="AY21" s="135"/>
      <c r="AZ21" s="63">
        <f t="shared" si="19"/>
        <v>29766</v>
      </c>
      <c r="BA21" s="25"/>
      <c r="BB21" s="31">
        <f>+ROUND('Res .95+% Res Furnace - NEW'!BA21+'Res .95+% Res Furnace - Replace'!BB21+'Res Water Heating .67 EF'!BB21+'Programmable Thermostats'!BB21+'Comm 95+ Furnace - New'!BB21+'Comm 95+% Furnace - Replace'!BB21+Custom!BB21,0)</f>
        <v>0</v>
      </c>
      <c r="BC21" s="31">
        <f>+ROUND('Res .95+% Res Furnace - NEW'!BB21+'Res .95+% Res Furnace - Replace'!BC21+'Res Water Heating .67 EF'!BC21+'Programmable Thermostats'!BC21+'Comm 95+ Furnace - New'!BC21+'Comm 95+% Furnace - Replace'!BC21+Custom!BC21,0)</f>
        <v>0</v>
      </c>
      <c r="BD21" s="64">
        <f t="shared" si="20"/>
        <v>0</v>
      </c>
      <c r="BE21" s="63">
        <f t="shared" si="8"/>
        <v>29766</v>
      </c>
      <c r="BH21" s="11">
        <f t="shared" si="21"/>
        <v>2022</v>
      </c>
      <c r="BI21" s="31">
        <f>+ROUND('Res .95+% Res Furnace - NEW'!BH21+'Res .95+% Res Furnace - Replace'!BI21+'Res Water Heating .67 EF'!BI21+'Programmable Thermostats'!BI21+'Comm 95+ Furnace - New'!BI21+'Comm 95+% Furnace - Replace'!BI21+Custom!BI21,0)</f>
        <v>0</v>
      </c>
      <c r="BJ21" s="31">
        <f>+ROUND('Res .95+% Res Furnace - NEW'!BI21+'Res .95+% Res Furnace - Replace'!BJ21+'Res Water Heating .67 EF'!BJ21+'Programmable Thermostats'!BJ21+'Comm 95+ Furnace - New'!BJ21+'Comm 95+% Furnace - Replace'!BJ21+Custom!BJ21,0)</f>
        <v>4254</v>
      </c>
      <c r="BK21" s="31">
        <f>+ROUND('Res .95+% Res Furnace - NEW'!BJ21+'Res .95+% Res Furnace - Replace'!BK21+'Res Water Heating .67 EF'!BK21+'Programmable Thermostats'!BK21+'Comm 95+ Furnace - New'!BK21+'Comm 95+% Furnace - Replace'!BK21+Custom!BK21,0)</f>
        <v>53</v>
      </c>
      <c r="BL21" s="31">
        <f>+ROUND('Res .95+% Res Furnace - NEW'!BK21+'Res .95+% Res Furnace - Replace'!BL21+'Res Water Heating .67 EF'!BL21+'Programmable Thermostats'!BL21+'Comm 95+ Furnace - New'!BL21+'Comm 95+% Furnace - Replace'!BL21+Custom!BL21,0)</f>
        <v>33366</v>
      </c>
      <c r="BM21" s="31">
        <f>+ROUND('Res .95+% Res Furnace - NEW'!BL21+'Res .95+% Res Furnace - Replace'!BM21+'Res Water Heating .67 EF'!BM21+'Programmable Thermostats'!BM21+'Comm 95+ Furnace - New'!BM21+'Comm 95+% Furnace - Replace'!BM21+Custom!BM21,0)</f>
        <v>1</v>
      </c>
      <c r="BN21" s="31">
        <f>+ROUND('Res .95+% Res Furnace - NEW'!BM21+'Res .95+% Res Furnace - Replace'!BN21+'Res Water Heating .67 EF'!BN21+'Programmable Thermostats'!BN21+'Comm 95+ Furnace - New'!BN21+'Comm 95+% Furnace - Replace'!BN21+Custom!BN21,0)</f>
        <v>47049</v>
      </c>
      <c r="BO21" s="124"/>
      <c r="BP21" s="63">
        <f t="shared" si="9"/>
        <v>80415</v>
      </c>
      <c r="BR21" s="31">
        <f>+ROUND('Res .95+% Res Furnace - NEW'!BQ21+'Res .95+% Res Furnace - Replace'!BR21+'Res Water Heating .67 EF'!BR21+'Programmable Thermostats'!BR21+'Comm 95+ Furnace - New'!BR21+'Comm 95+% Furnace - Replace'!BR21+Custom!BR21,0)</f>
        <v>0</v>
      </c>
      <c r="BS21" s="63"/>
      <c r="BT21" s="15">
        <f t="shared" si="22"/>
        <v>80415</v>
      </c>
      <c r="BW21" s="11">
        <f t="shared" si="23"/>
        <v>2022</v>
      </c>
      <c r="BX21" s="63">
        <f t="shared" si="10"/>
        <v>13949</v>
      </c>
      <c r="BY21" s="20">
        <f t="shared" si="24"/>
        <v>6475</v>
      </c>
      <c r="BZ21" s="169">
        <f t="shared" si="25"/>
        <v>7555</v>
      </c>
      <c r="CA21" s="63">
        <f t="shared" si="26"/>
        <v>27979</v>
      </c>
      <c r="CC21" s="63">
        <f t="shared" si="27"/>
        <v>0</v>
      </c>
      <c r="CD21" s="63">
        <f t="shared" si="27"/>
        <v>0</v>
      </c>
      <c r="CE21" s="63">
        <f t="shared" si="28"/>
        <v>0</v>
      </c>
      <c r="CF21" s="63"/>
      <c r="CG21" s="15">
        <f t="shared" si="29"/>
        <v>27979</v>
      </c>
      <c r="DB21" s="4">
        <f>$J14</f>
        <v>1</v>
      </c>
    </row>
    <row r="22" spans="1:106">
      <c r="F22" s="27"/>
      <c r="G22" s="27"/>
      <c r="H22" s="27"/>
      <c r="J22" s="4">
        <f t="shared" si="11"/>
        <v>9</v>
      </c>
      <c r="L22" s="11">
        <f t="shared" si="12"/>
        <v>2023</v>
      </c>
      <c r="M22" s="31">
        <f>+ROUND('Res .95+% Res Furnace - NEW'!M22+'Res .95+% Res Furnace - Replace'!M22+'Res Water Heating .67 EF'!M22+'Programmable Thermostats'!M22+'Comm 95+ Furnace - New'!M22+'Comm 95+% Furnace - Replace'!M22+Custom!M22,0)</f>
        <v>4254</v>
      </c>
      <c r="N22" s="31">
        <f>+ROUND('Res .95+% Res Furnace - NEW'!N22+'Res .95+% Res Furnace - Replace'!N22+'Res Water Heating .67 EF'!N22+'Programmable Thermostats'!N22+'Comm 95+ Furnace - New'!N22+'Comm 95+% Furnace - Replace'!N22+Custom!N22,0)</f>
        <v>24</v>
      </c>
      <c r="O22" s="31">
        <f>+ROUND('Res .95+% Res Furnace - NEW'!O22+'Res .95+% Res Furnace - Replace'!O22+'Res Water Heating .67 EF'!O22+'Programmable Thermostats'!O22+'Comm 95+ Furnace - New'!O22+'Comm 95+% Furnace - Replace'!O22+Custom!O22,0)</f>
        <v>14434</v>
      </c>
      <c r="P22" s="31">
        <f>+ROUND('Res .95+% Res Furnace - NEW'!P22+'Res .95+% Res Furnace - Replace'!P22+'Res Water Heating .67 EF'!P22+'Programmable Thermostats'!P22+'Comm 95+ Furnace - New'!P22+'Comm 95+% Furnace - Replace'!P22+Custom!P22,0)</f>
        <v>0</v>
      </c>
      <c r="Q22" s="31">
        <f>+ROUND('Res .95+% Res Furnace - NEW'!Q22+'Res .95+% Res Furnace - Replace'!Q22+'Res Water Heating .67 EF'!Q22+'Programmable Thermostats'!Q22+'Comm 95+ Furnace - New'!Q22+'Comm 95+% Furnace - Replace'!Q22+Custom!Q22,0)</f>
        <v>0</v>
      </c>
      <c r="R22" s="31">
        <f>+ROUND('Res .95+% Res Furnace - NEW'!R22+'Res .95+% Res Furnace - Replace'!R22+'Res Water Heating .67 EF'!R22+'Programmable Thermostats'!R22+'Comm 95+ Furnace - New'!R22+'Comm 95+% Furnace - Replace'!R22+Custom!R22,0)</f>
        <v>14434</v>
      </c>
      <c r="S22" s="31">
        <f>+ROUND('Res .95+% Res Furnace - NEW'!S22+'Res .95+% Res Furnace - Replace'!S22+'Res Water Heating .67 EF'!S22+'Programmable Thermostats'!S22+'Comm 95+ Furnace - New'!S22+'Comm 95+% Furnace - Replace'!S22+Custom!S22,0)</f>
        <v>43</v>
      </c>
      <c r="T22" s="31">
        <f>+ROUND('Res .95+% Res Furnace - NEW'!T22+'Res .95+% Res Furnace - Replace'!T22+'Res Water Heating .67 EF'!T22+'Programmable Thermostats'!T22+'Comm 95+ Furnace - New'!T22+'Comm 95+% Furnace - Replace'!T22+Custom!T22,0)</f>
        <v>1078</v>
      </c>
      <c r="U22" s="31">
        <f>+ROUND('Res .95+% Res Furnace - NEW'!U22+'Res .95+% Res Furnace - Replace'!U22+'Res Water Heating .67 EF'!U22+'Programmable Thermostats'!U22+'Comm 95+ Furnace - New'!U22+'Comm 95+% Furnace - Replace'!U22+Custom!U22,0)</f>
        <v>6561</v>
      </c>
      <c r="V22" s="31">
        <f t="shared" si="13"/>
        <v>20995</v>
      </c>
      <c r="W22" s="62"/>
      <c r="X22" s="31">
        <f>+ROUND('Res .95+% Res Furnace - NEW'!X22+'Res .95+% Res Furnace - Replace'!X22+'Res Water Heating .67 EF'!X22+'Programmable Thermostats'!X22+'Comm 95+ Furnace - New'!X22+'Comm 95+% Furnace - Replace'!X22+Custom!X22,0)</f>
        <v>6514</v>
      </c>
      <c r="Y22" s="31">
        <f>+ROUND('Res .95+% Res Furnace - NEW'!Y22+'Res .95+% Res Furnace - Replace'!Y22+'Res Water Heating .67 EF'!Y22+'Programmable Thermostats'!Y22+'Comm 95+ Furnace - New'!Y22+'Comm 95+% Furnace - Replace'!Y22+Custom!Y22,0)</f>
        <v>0</v>
      </c>
      <c r="Z22" s="31">
        <f>+ROUND('Res .95+% Res Furnace - NEW'!Z22+'Res .95+% Res Furnace - Replace'!Z22+'Res Water Heating .67 EF'!Z22+'Programmable Thermostats'!Z22+'Comm 95+ Furnace - New'!Z22+'Comm 95+% Furnace - Replace'!Z22+Custom!Z22,0)</f>
        <v>0</v>
      </c>
      <c r="AA22" s="159">
        <f t="shared" si="14"/>
        <v>6514</v>
      </c>
      <c r="AB22" s="15">
        <f t="shared" si="15"/>
        <v>14481</v>
      </c>
      <c r="AE22" s="11">
        <f t="shared" si="16"/>
        <v>2023</v>
      </c>
      <c r="AF22" s="63">
        <f t="shared" si="2"/>
        <v>14434</v>
      </c>
      <c r="AG22" s="27">
        <f t="shared" si="3"/>
        <v>6561</v>
      </c>
      <c r="AH22" s="63">
        <f t="shared" si="30"/>
        <v>20995</v>
      </c>
      <c r="AJ22" s="54">
        <f t="shared" si="17"/>
        <v>0</v>
      </c>
      <c r="AK22" s="54">
        <f t="shared" si="17"/>
        <v>0</v>
      </c>
      <c r="AL22" s="49">
        <f t="shared" si="4"/>
        <v>0</v>
      </c>
      <c r="AN22" s="108">
        <f t="shared" si="5"/>
        <v>20995</v>
      </c>
      <c r="AQ22" s="11">
        <f t="shared" si="18"/>
        <v>2023</v>
      </c>
      <c r="AR22" s="63">
        <f t="shared" si="6"/>
        <v>14434</v>
      </c>
      <c r="AS22" s="63">
        <f t="shared" si="7"/>
        <v>6561</v>
      </c>
      <c r="AT22" s="15">
        <f t="shared" si="7"/>
        <v>20995</v>
      </c>
      <c r="AU22" s="31">
        <f>+ROUND('Res .95+% Res Furnace - NEW'!AT22+'Res .95+% Res Furnace - Replace'!AU22+'Res Water Heating .67 EF'!AU22+'Programmable Thermostats'!AU22+'Comm 95+ Furnace - New'!AU22+'Comm 95+% Furnace - Replace'!AU22+Custom!AU22,0)</f>
        <v>7806</v>
      </c>
      <c r="AV22" s="31">
        <f>+ROUND('Res .95+% Res Furnace - NEW'!AU22+'Res .95+% Res Furnace - Replace'!AV22+'Res Water Heating .67 EF'!AV22+'Programmable Thermostats'!AV22+'Comm 95+ Furnace - New'!AV22+'Comm 95+% Furnace - Replace'!AV22+Custom!AV22,0)</f>
        <v>3</v>
      </c>
      <c r="AW22" s="31">
        <f>+ROUND('Res .95+% Res Furnace - NEW'!AV22+'Res .95+% Res Furnace - Replace'!AW22+'Res Water Heating .67 EF'!AW22+'Programmable Thermostats'!AW22+'Comm 95+ Furnace - New'!AW22+'Comm 95+% Furnace - Replace'!AW22+Custom!AW22,0)</f>
        <v>1825</v>
      </c>
      <c r="AX22" s="134"/>
      <c r="AY22" s="135"/>
      <c r="AZ22" s="63">
        <f t="shared" si="19"/>
        <v>30626</v>
      </c>
      <c r="BA22" s="25"/>
      <c r="BB22" s="31">
        <f>+ROUND('Res .95+% Res Furnace - NEW'!BA22+'Res .95+% Res Furnace - Replace'!BB22+'Res Water Heating .67 EF'!BB22+'Programmable Thermostats'!BB22+'Comm 95+ Furnace - New'!BB22+'Comm 95+% Furnace - Replace'!BB22+Custom!BB22,0)</f>
        <v>0</v>
      </c>
      <c r="BC22" s="31">
        <f>+ROUND('Res .95+% Res Furnace - NEW'!BB22+'Res .95+% Res Furnace - Replace'!BC22+'Res Water Heating .67 EF'!BC22+'Programmable Thermostats'!BC22+'Comm 95+ Furnace - New'!BC22+'Comm 95+% Furnace - Replace'!BC22+Custom!BC22,0)</f>
        <v>0</v>
      </c>
      <c r="BD22" s="64">
        <f t="shared" si="20"/>
        <v>0</v>
      </c>
      <c r="BE22" s="63">
        <f t="shared" si="8"/>
        <v>30626</v>
      </c>
      <c r="BH22" s="11">
        <f t="shared" si="21"/>
        <v>2023</v>
      </c>
      <c r="BI22" s="31">
        <f>+ROUND('Res .95+% Res Furnace - NEW'!BH22+'Res .95+% Res Furnace - Replace'!BI22+'Res Water Heating .67 EF'!BI22+'Programmable Thermostats'!BI22+'Comm 95+ Furnace - New'!BI22+'Comm 95+% Furnace - Replace'!BI22+Custom!BI22,0)</f>
        <v>0</v>
      </c>
      <c r="BJ22" s="31">
        <f>+ROUND('Res .95+% Res Furnace - NEW'!BI22+'Res .95+% Res Furnace - Replace'!BJ22+'Res Water Heating .67 EF'!BJ22+'Programmable Thermostats'!BJ22+'Comm 95+ Furnace - New'!BJ22+'Comm 95+% Furnace - Replace'!BJ22+Custom!BJ22,0)</f>
        <v>4254</v>
      </c>
      <c r="BK22" s="31">
        <f>+ROUND('Res .95+% Res Furnace - NEW'!BJ22+'Res .95+% Res Furnace - Replace'!BK22+'Res Water Heating .67 EF'!BK22+'Programmable Thermostats'!BK22+'Comm 95+ Furnace - New'!BK22+'Comm 95+% Furnace - Replace'!BK22+Custom!BK22,0)</f>
        <v>55</v>
      </c>
      <c r="BL22" s="31">
        <f>+ROUND('Res .95+% Res Furnace - NEW'!BK22+'Res .95+% Res Furnace - Replace'!BL22+'Res Water Heating .67 EF'!BL22+'Programmable Thermostats'!BL22+'Comm 95+ Furnace - New'!BL22+'Comm 95+% Furnace - Replace'!BL22+Custom!BL22,0)</f>
        <v>34534</v>
      </c>
      <c r="BM22" s="31">
        <f>+ROUND('Res .95+% Res Furnace - NEW'!BL22+'Res .95+% Res Furnace - Replace'!BM22+'Res Water Heating .67 EF'!BM22+'Programmable Thermostats'!BM22+'Comm 95+ Furnace - New'!BM22+'Comm 95+% Furnace - Replace'!BM22+Custom!BM22,0)</f>
        <v>1</v>
      </c>
      <c r="BN22" s="31">
        <f>+ROUND('Res .95+% Res Furnace - NEW'!BM22+'Res .95+% Res Furnace - Replace'!BN22+'Res Water Heating .67 EF'!BN22+'Programmable Thermostats'!BN22+'Comm 95+ Furnace - New'!BN22+'Comm 95+% Furnace - Replace'!BN22+Custom!BN22,0)</f>
        <v>48807</v>
      </c>
      <c r="BO22" s="124"/>
      <c r="BP22" s="63">
        <f t="shared" si="9"/>
        <v>83341</v>
      </c>
      <c r="BR22" s="31">
        <f>+ROUND('Res .95+% Res Furnace - NEW'!BQ22+'Res .95+% Res Furnace - Replace'!BR22+'Res Water Heating .67 EF'!BR22+'Programmable Thermostats'!BR22+'Comm 95+ Furnace - New'!BR22+'Comm 95+% Furnace - Replace'!BR22+Custom!BR22,0)</f>
        <v>0</v>
      </c>
      <c r="BS22" s="63"/>
      <c r="BT22" s="15">
        <f t="shared" si="22"/>
        <v>83341</v>
      </c>
      <c r="BW22" s="11">
        <f t="shared" si="23"/>
        <v>2023</v>
      </c>
      <c r="BX22" s="63">
        <f t="shared" si="10"/>
        <v>14434</v>
      </c>
      <c r="BY22" s="20">
        <f t="shared" si="24"/>
        <v>6561</v>
      </c>
      <c r="BZ22" s="169">
        <f t="shared" si="25"/>
        <v>7806</v>
      </c>
      <c r="CA22" s="63">
        <f t="shared" si="26"/>
        <v>28801</v>
      </c>
      <c r="CC22" s="63">
        <f t="shared" si="27"/>
        <v>0</v>
      </c>
      <c r="CD22" s="63">
        <f t="shared" si="27"/>
        <v>0</v>
      </c>
      <c r="CE22" s="63">
        <f t="shared" si="28"/>
        <v>0</v>
      </c>
      <c r="CF22" s="63"/>
      <c r="CG22" s="15">
        <f t="shared" si="29"/>
        <v>28801</v>
      </c>
      <c r="DB22" s="4">
        <f>$J15</f>
        <v>2</v>
      </c>
    </row>
    <row r="23" spans="1:106">
      <c r="A23" s="3" t="s">
        <v>68</v>
      </c>
      <c r="C23" s="26"/>
      <c r="E23" s="3" t="s">
        <v>69</v>
      </c>
      <c r="F23" s="189"/>
      <c r="G23" s="189"/>
      <c r="H23" s="189"/>
      <c r="J23" s="4">
        <f t="shared" si="11"/>
        <v>10</v>
      </c>
      <c r="L23" s="11">
        <f t="shared" si="12"/>
        <v>2024</v>
      </c>
      <c r="M23" s="31">
        <f>+ROUND('Res .95+% Res Furnace - NEW'!M23+'Res .95+% Res Furnace - Replace'!M23+'Res Water Heating .67 EF'!M23+'Programmable Thermostats'!M23+'Comm 95+ Furnace - New'!M23+'Comm 95+% Furnace - Replace'!M23+Custom!M23,0)</f>
        <v>4254</v>
      </c>
      <c r="N23" s="31">
        <f>+ROUND('Res .95+% Res Furnace - NEW'!N23+'Res .95+% Res Furnace - Replace'!N23+'Res Water Heating .67 EF'!N23+'Programmable Thermostats'!N23+'Comm 95+ Furnace - New'!N23+'Comm 95+% Furnace - Replace'!N23+Custom!N23,0)</f>
        <v>25</v>
      </c>
      <c r="O23" s="31">
        <f>+ROUND('Res .95+% Res Furnace - NEW'!O23+'Res .95+% Res Furnace - Replace'!O23+'Res Water Heating .67 EF'!O23+'Programmable Thermostats'!O23+'Comm 95+ Furnace - New'!O23+'Comm 95+% Furnace - Replace'!O23+Custom!O23,0)</f>
        <v>14940</v>
      </c>
      <c r="P23" s="31">
        <f>+ROUND('Res .95+% Res Furnace - NEW'!P23+'Res .95+% Res Furnace - Replace'!P23+'Res Water Heating .67 EF'!P23+'Programmable Thermostats'!P23+'Comm 95+ Furnace - New'!P23+'Comm 95+% Furnace - Replace'!P23+Custom!P23,0)</f>
        <v>0</v>
      </c>
      <c r="Q23" s="31">
        <f>+ROUND('Res .95+% Res Furnace - NEW'!Q23+'Res .95+% Res Furnace - Replace'!Q23+'Res Water Heating .67 EF'!Q23+'Programmable Thermostats'!Q23+'Comm 95+ Furnace - New'!Q23+'Comm 95+% Furnace - Replace'!Q23+Custom!Q23,0)</f>
        <v>0</v>
      </c>
      <c r="R23" s="31">
        <f>+ROUND('Res .95+% Res Furnace - NEW'!R23+'Res .95+% Res Furnace - Replace'!R23+'Res Water Heating .67 EF'!R23+'Programmable Thermostats'!R23+'Comm 95+ Furnace - New'!R23+'Comm 95+% Furnace - Replace'!R23+Custom!R23,0)</f>
        <v>14940</v>
      </c>
      <c r="S23" s="31">
        <f>+ROUND('Res .95+% Res Furnace - NEW'!S23+'Res .95+% Res Furnace - Replace'!S23+'Res Water Heating .67 EF'!S23+'Programmable Thermostats'!S23+'Comm 95+ Furnace - New'!S23+'Comm 95+% Furnace - Replace'!S23+Custom!S23,0)</f>
        <v>43</v>
      </c>
      <c r="T23" s="31">
        <f>+ROUND('Res .95+% Res Furnace - NEW'!T23+'Res .95+% Res Furnace - Replace'!T23+'Res Water Heating .67 EF'!T23+'Programmable Thermostats'!T23+'Comm 95+ Furnace - New'!T23+'Comm 95+% Furnace - Replace'!T23+Custom!T23,0)</f>
        <v>1092</v>
      </c>
      <c r="U23" s="31">
        <f>+ROUND('Res .95+% Res Furnace - NEW'!U23+'Res .95+% Res Furnace - Replace'!U23+'Res Water Heating .67 EF'!U23+'Programmable Thermostats'!U23+'Comm 95+ Furnace - New'!U23+'Comm 95+% Furnace - Replace'!U23+Custom!U23,0)</f>
        <v>6645</v>
      </c>
      <c r="V23" s="31">
        <f t="shared" si="13"/>
        <v>21585</v>
      </c>
      <c r="W23" s="62"/>
      <c r="X23" s="31">
        <f>+ROUND('Res .95+% Res Furnace - NEW'!X23+'Res .95+% Res Furnace - Replace'!X23+'Res Water Heating .67 EF'!X23+'Programmable Thermostats'!X23+'Comm 95+ Furnace - New'!X23+'Comm 95+% Furnace - Replace'!X23+Custom!X23,0)</f>
        <v>6742</v>
      </c>
      <c r="Y23" s="31">
        <f>+ROUND('Res .95+% Res Furnace - NEW'!Y23+'Res .95+% Res Furnace - Replace'!Y23+'Res Water Heating .67 EF'!Y23+'Programmable Thermostats'!Y23+'Comm 95+ Furnace - New'!Y23+'Comm 95+% Furnace - Replace'!Y23+Custom!Y23,0)</f>
        <v>0</v>
      </c>
      <c r="Z23" s="31">
        <f>+ROUND('Res .95+% Res Furnace - NEW'!Z23+'Res .95+% Res Furnace - Replace'!Z23+'Res Water Heating .67 EF'!Z23+'Programmable Thermostats'!Z23+'Comm 95+ Furnace - New'!Z23+'Comm 95+% Furnace - Replace'!Z23+Custom!Z23,0)</f>
        <v>0</v>
      </c>
      <c r="AA23" s="159">
        <f t="shared" si="14"/>
        <v>6742</v>
      </c>
      <c r="AB23" s="15">
        <f t="shared" si="15"/>
        <v>14843</v>
      </c>
      <c r="AE23" s="11">
        <f t="shared" si="16"/>
        <v>2024</v>
      </c>
      <c r="AF23" s="63">
        <f t="shared" si="2"/>
        <v>14940</v>
      </c>
      <c r="AG23" s="27">
        <f t="shared" si="3"/>
        <v>6645</v>
      </c>
      <c r="AH23" s="63">
        <f t="shared" si="30"/>
        <v>21585</v>
      </c>
      <c r="AJ23" s="54">
        <f t="shared" si="17"/>
        <v>0</v>
      </c>
      <c r="AK23" s="54">
        <f t="shared" si="17"/>
        <v>0</v>
      </c>
      <c r="AL23" s="49">
        <f t="shared" si="4"/>
        <v>0</v>
      </c>
      <c r="AN23" s="108">
        <f t="shared" si="5"/>
        <v>21585</v>
      </c>
      <c r="AQ23" s="11">
        <f t="shared" si="18"/>
        <v>2024</v>
      </c>
      <c r="AR23" s="63">
        <f t="shared" si="6"/>
        <v>14940</v>
      </c>
      <c r="AS23" s="63">
        <f t="shared" si="7"/>
        <v>6645</v>
      </c>
      <c r="AT23" s="15">
        <f t="shared" si="7"/>
        <v>21585</v>
      </c>
      <c r="AU23" s="31">
        <f>+ROUND('Res .95+% Res Furnace - NEW'!AT23+'Res .95+% Res Furnace - Replace'!AU23+'Res Water Heating .67 EF'!AU23+'Programmable Thermostats'!AU23+'Comm 95+ Furnace - New'!AU23+'Comm 95+% Furnace - Replace'!AU23+Custom!AU23,0)</f>
        <v>8059</v>
      </c>
      <c r="AV23" s="31">
        <f>+ROUND('Res .95+% Res Furnace - NEW'!AU23+'Res .95+% Res Furnace - Replace'!AV23+'Res Water Heating .67 EF'!AV23+'Programmable Thermostats'!AV23+'Comm 95+ Furnace - New'!AV23+'Comm 95+% Furnace - Replace'!AV23+Custom!AV23,0)</f>
        <v>3</v>
      </c>
      <c r="AW23" s="31">
        <f>+ROUND('Res .95+% Res Furnace - NEW'!AV23+'Res .95+% Res Furnace - Replace'!AW23+'Res Water Heating .67 EF'!AW23+'Programmable Thermostats'!AW23+'Comm 95+ Furnace - New'!AW23+'Comm 95+% Furnace - Replace'!AW23+Custom!AW23,0)</f>
        <v>1868</v>
      </c>
      <c r="AX23" s="134"/>
      <c r="AY23" s="135"/>
      <c r="AZ23" s="63">
        <f t="shared" si="19"/>
        <v>31512</v>
      </c>
      <c r="BA23" s="25"/>
      <c r="BB23" s="31">
        <f>+ROUND('Res .95+% Res Furnace - NEW'!BA23+'Res .95+% Res Furnace - Replace'!BB23+'Res Water Heating .67 EF'!BB23+'Programmable Thermostats'!BB23+'Comm 95+ Furnace - New'!BB23+'Comm 95+% Furnace - Replace'!BB23+Custom!BB23,0)</f>
        <v>0</v>
      </c>
      <c r="BC23" s="31">
        <f>+ROUND('Res .95+% Res Furnace - NEW'!BB23+'Res .95+% Res Furnace - Replace'!BC23+'Res Water Heating .67 EF'!BC23+'Programmable Thermostats'!BC23+'Comm 95+ Furnace - New'!BC23+'Comm 95+% Furnace - Replace'!BC23+Custom!BC23,0)</f>
        <v>0</v>
      </c>
      <c r="BD23" s="64">
        <f t="shared" si="20"/>
        <v>0</v>
      </c>
      <c r="BE23" s="63">
        <f t="shared" si="8"/>
        <v>31512</v>
      </c>
      <c r="BH23" s="11">
        <f t="shared" si="21"/>
        <v>2024</v>
      </c>
      <c r="BI23" s="31">
        <f>+ROUND('Res .95+% Res Furnace - NEW'!BH23+'Res .95+% Res Furnace - Replace'!BI23+'Res Water Heating .67 EF'!BI23+'Programmable Thermostats'!BI23+'Comm 95+ Furnace - New'!BI23+'Comm 95+% Furnace - Replace'!BI23+Custom!BI23,0)</f>
        <v>0</v>
      </c>
      <c r="BJ23" s="31">
        <f>+ROUND('Res .95+% Res Furnace - NEW'!BI23+'Res .95+% Res Furnace - Replace'!BJ23+'Res Water Heating .67 EF'!BJ23+'Programmable Thermostats'!BJ23+'Comm 95+ Furnace - New'!BJ23+'Comm 95+% Furnace - Replace'!BJ23+Custom!BJ23,0)</f>
        <v>4254</v>
      </c>
      <c r="BK23" s="31">
        <f>+ROUND('Res .95+% Res Furnace - NEW'!BJ23+'Res .95+% Res Furnace - Replace'!BK23+'Res Water Heating .67 EF'!BK23+'Programmable Thermostats'!BK23+'Comm 95+ Furnace - New'!BK23+'Comm 95+% Furnace - Replace'!BK23+Custom!BK23,0)</f>
        <v>57</v>
      </c>
      <c r="BL23" s="31">
        <f>+ROUND('Res .95+% Res Furnace - NEW'!BK23+'Res .95+% Res Furnace - Replace'!BL23+'Res Water Heating .67 EF'!BL23+'Programmable Thermostats'!BL23+'Comm 95+ Furnace - New'!BL23+'Comm 95+% Furnace - Replace'!BL23+Custom!BL23,0)</f>
        <v>35742</v>
      </c>
      <c r="BM23" s="31">
        <f>+ROUND('Res .95+% Res Furnace - NEW'!BL23+'Res .95+% Res Furnace - Replace'!BM23+'Res Water Heating .67 EF'!BM23+'Programmable Thermostats'!BM23+'Comm 95+ Furnace - New'!BM23+'Comm 95+% Furnace - Replace'!BM23+Custom!BM23,0)</f>
        <v>1</v>
      </c>
      <c r="BN23" s="31">
        <f>+ROUND('Res .95+% Res Furnace - NEW'!BM23+'Res .95+% Res Furnace - Replace'!BN23+'Res Water Heating .67 EF'!BN23+'Programmable Thermostats'!BN23+'Comm 95+ Furnace - New'!BN23+'Comm 95+% Furnace - Replace'!BN23+Custom!BN23,0)</f>
        <v>50317</v>
      </c>
      <c r="BO23" s="124"/>
      <c r="BP23" s="63">
        <f t="shared" si="9"/>
        <v>86059</v>
      </c>
      <c r="BR23" s="31">
        <f>+ROUND('Res .95+% Res Furnace - NEW'!BQ23+'Res .95+% Res Furnace - Replace'!BR23+'Res Water Heating .67 EF'!BR23+'Programmable Thermostats'!BR23+'Comm 95+ Furnace - New'!BR23+'Comm 95+% Furnace - Replace'!BR23+Custom!BR23,0)</f>
        <v>0</v>
      </c>
      <c r="BS23" s="63"/>
      <c r="BT23" s="15">
        <f t="shared" si="22"/>
        <v>86059</v>
      </c>
      <c r="BW23" s="11">
        <f t="shared" si="23"/>
        <v>2024</v>
      </c>
      <c r="BX23" s="63">
        <f t="shared" si="10"/>
        <v>14940</v>
      </c>
      <c r="BY23" s="20">
        <f t="shared" si="24"/>
        <v>6645</v>
      </c>
      <c r="BZ23" s="169">
        <f t="shared" si="25"/>
        <v>8059</v>
      </c>
      <c r="CA23" s="63">
        <f t="shared" si="26"/>
        <v>29644</v>
      </c>
      <c r="CC23" s="63">
        <f t="shared" si="27"/>
        <v>0</v>
      </c>
      <c r="CD23" s="63">
        <f t="shared" si="27"/>
        <v>0</v>
      </c>
      <c r="CE23" s="63">
        <f t="shared" si="28"/>
        <v>0</v>
      </c>
      <c r="CF23" s="63"/>
      <c r="CG23" s="15">
        <f t="shared" si="29"/>
        <v>29644</v>
      </c>
      <c r="DB23" s="4">
        <f>$J16</f>
        <v>3</v>
      </c>
    </row>
    <row r="24" spans="1:106">
      <c r="F24" s="27"/>
      <c r="G24" s="27"/>
      <c r="H24" s="27"/>
      <c r="J24" s="4">
        <f t="shared" si="11"/>
        <v>11</v>
      </c>
      <c r="L24" s="11">
        <f t="shared" si="12"/>
        <v>2025</v>
      </c>
      <c r="M24" s="31">
        <f>+ROUND('Res .95+% Res Furnace - NEW'!M24+'Res .95+% Res Furnace - Replace'!M24+'Res Water Heating .67 EF'!M24+'Programmable Thermostats'!M24+'Comm 95+ Furnace - New'!M24+'Comm 95+% Furnace - Replace'!M24+Custom!M24,0)</f>
        <v>3795</v>
      </c>
      <c r="N24" s="31">
        <f>+ROUND('Res .95+% Res Furnace - NEW'!N24+'Res .95+% Res Furnace - Replace'!N24+'Res Water Heating .67 EF'!N24+'Programmable Thermostats'!N24+'Comm 95+ Furnace - New'!N24+'Comm 95+% Furnace - Replace'!N24+Custom!N24,0)</f>
        <v>25</v>
      </c>
      <c r="O24" s="31">
        <f>+ROUND('Res .95+% Res Furnace - NEW'!O24+'Res .95+% Res Furnace - Replace'!O24+'Res Water Heating .67 EF'!O24+'Programmable Thermostats'!O24+'Comm 95+ Furnace - New'!O24+'Comm 95+% Furnace - Replace'!O24+Custom!O24,0)</f>
        <v>13795</v>
      </c>
      <c r="P24" s="31">
        <f>+ROUND('Res .95+% Res Furnace - NEW'!P24+'Res .95+% Res Furnace - Replace'!P24+'Res Water Heating .67 EF'!P24+'Programmable Thermostats'!P24+'Comm 95+ Furnace - New'!P24+'Comm 95+% Furnace - Replace'!P24+Custom!P24,0)</f>
        <v>0</v>
      </c>
      <c r="Q24" s="31">
        <f>+ROUND('Res .95+% Res Furnace - NEW'!Q24+'Res .95+% Res Furnace - Replace'!Q24+'Res Water Heating .67 EF'!Q24+'Programmable Thermostats'!Q24+'Comm 95+ Furnace - New'!Q24+'Comm 95+% Furnace - Replace'!Q24+Custom!Q24,0)</f>
        <v>0</v>
      </c>
      <c r="R24" s="31">
        <f>+ROUND('Res .95+% Res Furnace - NEW'!R24+'Res .95+% Res Furnace - Replace'!R24+'Res Water Heating .67 EF'!R24+'Programmable Thermostats'!R24+'Comm 95+ Furnace - New'!R24+'Comm 95+% Furnace - Replace'!R24+Custom!R24,0)</f>
        <v>13795</v>
      </c>
      <c r="S24" s="31">
        <f>+ROUND('Res .95+% Res Furnace - NEW'!S24+'Res .95+% Res Furnace - Replace'!S24+'Res Water Heating .67 EF'!S24+'Programmable Thermostats'!S24+'Comm 95+ Furnace - New'!S24+'Comm 95+% Furnace - Replace'!S24+Custom!S24,0)</f>
        <v>38</v>
      </c>
      <c r="T24" s="31">
        <f>+ROUND('Res .95+% Res Furnace - NEW'!T24+'Res .95+% Res Furnace - Replace'!T24+'Res Water Heating .67 EF'!T24+'Programmable Thermostats'!T24+'Comm 95+ Furnace - New'!T24+'Comm 95+% Furnace - Replace'!T24+Custom!T24,0)</f>
        <v>1099</v>
      </c>
      <c r="U24" s="31">
        <f>+ROUND('Res .95+% Res Furnace - NEW'!U24+'Res .95+% Res Furnace - Replace'!U24+'Res Water Heating .67 EF'!U24+'Programmable Thermostats'!U24+'Comm 95+ Furnace - New'!U24+'Comm 95+% Furnace - Replace'!U24+Custom!U24,0)</f>
        <v>5966</v>
      </c>
      <c r="V24" s="31">
        <f t="shared" si="13"/>
        <v>19761</v>
      </c>
      <c r="W24" s="62"/>
      <c r="X24" s="31">
        <f>+ROUND('Res .95+% Res Furnace - NEW'!X24+'Res .95+% Res Furnace - Replace'!X24+'Res Water Heating .67 EF'!X24+'Programmable Thermostats'!X24+'Comm 95+ Furnace - New'!X24+'Comm 95+% Furnace - Replace'!X24+Custom!X24,0)</f>
        <v>6217</v>
      </c>
      <c r="Y24" s="31">
        <f>+ROUND('Res .95+% Res Furnace - NEW'!Y24+'Res .95+% Res Furnace - Replace'!Y24+'Res Water Heating .67 EF'!Y24+'Programmable Thermostats'!Y24+'Comm 95+ Furnace - New'!Y24+'Comm 95+% Furnace - Replace'!Y24+Custom!Y24,0)</f>
        <v>0</v>
      </c>
      <c r="Z24" s="31">
        <f>+ROUND('Res .95+% Res Furnace - NEW'!Z24+'Res .95+% Res Furnace - Replace'!Z24+'Res Water Heating .67 EF'!Z24+'Programmable Thermostats'!Z24+'Comm 95+ Furnace - New'!Z24+'Comm 95+% Furnace - Replace'!Z24+Custom!Z24,0)</f>
        <v>0</v>
      </c>
      <c r="AA24" s="159">
        <f t="shared" si="14"/>
        <v>6217</v>
      </c>
      <c r="AB24" s="15">
        <f t="shared" si="15"/>
        <v>13544</v>
      </c>
      <c r="AE24" s="11">
        <f t="shared" si="16"/>
        <v>2025</v>
      </c>
      <c r="AF24" s="63">
        <f t="shared" si="2"/>
        <v>13795</v>
      </c>
      <c r="AG24" s="27">
        <f t="shared" si="3"/>
        <v>5966</v>
      </c>
      <c r="AH24" s="63">
        <f t="shared" si="30"/>
        <v>19761</v>
      </c>
      <c r="AJ24" s="54">
        <f t="shared" si="17"/>
        <v>0</v>
      </c>
      <c r="AK24" s="54">
        <f t="shared" si="17"/>
        <v>0</v>
      </c>
      <c r="AL24" s="49">
        <f t="shared" si="4"/>
        <v>0</v>
      </c>
      <c r="AN24" s="108">
        <f t="shared" si="5"/>
        <v>19761</v>
      </c>
      <c r="AQ24" s="11">
        <f t="shared" si="18"/>
        <v>2025</v>
      </c>
      <c r="AR24" s="63">
        <f t="shared" si="6"/>
        <v>13795</v>
      </c>
      <c r="AS24" s="63">
        <f t="shared" si="7"/>
        <v>5966</v>
      </c>
      <c r="AT24" s="15">
        <f t="shared" si="7"/>
        <v>19761</v>
      </c>
      <c r="AU24" s="31">
        <f>+ROUND('Res .95+% Res Furnace - NEW'!AT24+'Res .95+% Res Furnace - Replace'!AU24+'Res Water Heating .67 EF'!AU24+'Programmable Thermostats'!AU24+'Comm 95+ Furnace - New'!AU24+'Comm 95+% Furnace - Replace'!AU24+Custom!AU24,0)</f>
        <v>8561</v>
      </c>
      <c r="AV24" s="31">
        <f>+ROUND('Res .95+% Res Furnace - NEW'!AU24+'Res .95+% Res Furnace - Replace'!AV24+'Res Water Heating .67 EF'!AV24+'Programmable Thermostats'!AV24+'Comm 95+ Furnace - New'!AV24+'Comm 95+% Furnace - Replace'!AV24+Custom!AV24,0)</f>
        <v>3</v>
      </c>
      <c r="AW24" s="31">
        <f>+ROUND('Res .95+% Res Furnace - NEW'!AV24+'Res .95+% Res Furnace - Replace'!AW24+'Res Water Heating .67 EF'!AW24+'Programmable Thermostats'!AW24+'Comm 95+ Furnace - New'!AW24+'Comm 95+% Furnace - Replace'!AW24+Custom!AW24,0)</f>
        <v>1704</v>
      </c>
      <c r="AX24" s="134"/>
      <c r="AY24" s="135"/>
      <c r="AZ24" s="63">
        <f t="shared" si="19"/>
        <v>30026</v>
      </c>
      <c r="BA24" s="25"/>
      <c r="BB24" s="31">
        <f>+ROUND('Res .95+% Res Furnace - NEW'!BA24+'Res .95+% Res Furnace - Replace'!BB24+'Res Water Heating .67 EF'!BB24+'Programmable Thermostats'!BB24+'Comm 95+ Furnace - New'!BB24+'Comm 95+% Furnace - Replace'!BB24+Custom!BB24,0)</f>
        <v>0</v>
      </c>
      <c r="BC24" s="31">
        <f>+ROUND('Res .95+% Res Furnace - NEW'!BB24+'Res .95+% Res Furnace - Replace'!BC24+'Res Water Heating .67 EF'!BC24+'Programmable Thermostats'!BC24+'Comm 95+ Furnace - New'!BC24+'Comm 95+% Furnace - Replace'!BC24+Custom!BC24,0)</f>
        <v>0</v>
      </c>
      <c r="BD24" s="64">
        <f t="shared" si="20"/>
        <v>0</v>
      </c>
      <c r="BE24" s="63">
        <f t="shared" si="8"/>
        <v>30026</v>
      </c>
      <c r="BH24" s="11">
        <f t="shared" si="21"/>
        <v>2025</v>
      </c>
      <c r="BI24" s="31">
        <f>+ROUND('Res .95+% Res Furnace - NEW'!BH24+'Res .95+% Res Furnace - Replace'!BI24+'Res Water Heating .67 EF'!BI24+'Programmable Thermostats'!BI24+'Comm 95+ Furnace - New'!BI24+'Comm 95+% Furnace - Replace'!BI24+Custom!BI24,0)</f>
        <v>0</v>
      </c>
      <c r="BJ24" s="31">
        <f>+ROUND('Res .95+% Res Furnace - NEW'!BI24+'Res .95+% Res Furnace - Replace'!BJ24+'Res Water Heating .67 EF'!BJ24+'Programmable Thermostats'!BJ24+'Comm 95+ Furnace - New'!BJ24+'Comm 95+% Furnace - Replace'!BJ24+Custom!BJ24,0)</f>
        <v>3795</v>
      </c>
      <c r="BK24" s="31">
        <f>+ROUND('Res .95+% Res Furnace - NEW'!BJ24+'Res .95+% Res Furnace - Replace'!BK24+'Res Water Heating .67 EF'!BK24+'Programmable Thermostats'!BK24+'Comm 95+ Furnace - New'!BK24+'Comm 95+% Furnace - Replace'!BK24+Custom!BK24,0)</f>
        <v>59</v>
      </c>
      <c r="BL24" s="31">
        <f>+ROUND('Res .95+% Res Furnace - NEW'!BK24+'Res .95+% Res Furnace - Replace'!BL24+'Res Water Heating .67 EF'!BL24+'Programmable Thermostats'!BL24+'Comm 95+ Furnace - New'!BL24+'Comm 95+% Furnace - Replace'!BL24+Custom!BL24,0)</f>
        <v>32992</v>
      </c>
      <c r="BM24" s="31">
        <f>+ROUND('Res .95+% Res Furnace - NEW'!BL24+'Res .95+% Res Furnace - Replace'!BM24+'Res Water Heating .67 EF'!BM24+'Programmable Thermostats'!BM24+'Comm 95+ Furnace - New'!BM24+'Comm 95+% Furnace - Replace'!BM24+Custom!BM24,0)</f>
        <v>1</v>
      </c>
      <c r="BN24" s="31">
        <f>+ROUND('Res .95+% Res Furnace - NEW'!BM24+'Res .95+% Res Furnace - Replace'!BN24+'Res Water Heating .67 EF'!BN24+'Programmable Thermostats'!BN24+'Comm 95+ Furnace - New'!BN24+'Comm 95+% Furnace - Replace'!BN24+Custom!BN24,0)</f>
        <v>52080</v>
      </c>
      <c r="BO24" s="124"/>
      <c r="BP24" s="63">
        <f t="shared" si="9"/>
        <v>85072</v>
      </c>
      <c r="BR24" s="31">
        <f>+ROUND('Res .95+% Res Furnace - NEW'!BQ24+'Res .95+% Res Furnace - Replace'!BR24+'Res Water Heating .67 EF'!BR24+'Programmable Thermostats'!BR24+'Comm 95+ Furnace - New'!BR24+'Comm 95+% Furnace - Replace'!BR24+Custom!BR24,0)</f>
        <v>0</v>
      </c>
      <c r="BS24" s="63"/>
      <c r="BT24" s="15">
        <f t="shared" si="22"/>
        <v>85072</v>
      </c>
      <c r="BW24" s="11">
        <f t="shared" si="23"/>
        <v>2025</v>
      </c>
      <c r="BX24" s="63">
        <f t="shared" si="10"/>
        <v>13795</v>
      </c>
      <c r="BY24" s="20">
        <f t="shared" si="24"/>
        <v>5966</v>
      </c>
      <c r="BZ24" s="169">
        <f t="shared" si="25"/>
        <v>8561</v>
      </c>
      <c r="CA24" s="63">
        <f t="shared" si="26"/>
        <v>28322</v>
      </c>
      <c r="CC24" s="63">
        <f t="shared" si="27"/>
        <v>0</v>
      </c>
      <c r="CD24" s="63">
        <f t="shared" si="27"/>
        <v>0</v>
      </c>
      <c r="CE24" s="63">
        <f t="shared" si="28"/>
        <v>0</v>
      </c>
      <c r="CF24" s="63"/>
      <c r="CG24" s="15">
        <f t="shared" si="29"/>
        <v>28322</v>
      </c>
      <c r="DB24" s="4">
        <f>$J17</f>
        <v>4</v>
      </c>
    </row>
    <row r="25" spans="1:106">
      <c r="A25" s="187" t="s">
        <v>106</v>
      </c>
      <c r="C25" s="14"/>
      <c r="E25" s="65" t="s">
        <v>102</v>
      </c>
      <c r="F25" s="197"/>
      <c r="G25" s="197"/>
      <c r="H25" s="197"/>
      <c r="J25" s="4">
        <f t="shared" si="11"/>
        <v>12</v>
      </c>
      <c r="L25" s="11">
        <f t="shared" si="12"/>
        <v>2026</v>
      </c>
      <c r="M25" s="31">
        <f>+ROUND('Res .95+% Res Furnace - NEW'!M25+'Res .95+% Res Furnace - Replace'!M25+'Res Water Heating .67 EF'!M25+'Programmable Thermostats'!M25+'Comm 95+ Furnace - New'!M25+'Comm 95+% Furnace - Replace'!M25+Custom!M25,0)</f>
        <v>3795</v>
      </c>
      <c r="N25" s="31">
        <f>+ROUND('Res .95+% Res Furnace - NEW'!N25+'Res .95+% Res Furnace - Replace'!N25+'Res Water Heating .67 EF'!N25+'Programmable Thermostats'!N25+'Comm 95+ Furnace - New'!N25+'Comm 95+% Furnace - Replace'!N25+Custom!N25,0)</f>
        <v>26</v>
      </c>
      <c r="O25" s="31">
        <f>+ROUND('Res .95+% Res Furnace - NEW'!O25+'Res .95+% Res Furnace - Replace'!O25+'Res Water Heating .67 EF'!O25+'Programmable Thermostats'!O25+'Comm 95+ Furnace - New'!O25+'Comm 95+% Furnace - Replace'!O25+Custom!O25,0)</f>
        <v>14277</v>
      </c>
      <c r="P25" s="31">
        <f>+ROUND('Res .95+% Res Furnace - NEW'!P25+'Res .95+% Res Furnace - Replace'!P25+'Res Water Heating .67 EF'!P25+'Programmable Thermostats'!P25+'Comm 95+ Furnace - New'!P25+'Comm 95+% Furnace - Replace'!P25+Custom!P25,0)</f>
        <v>0</v>
      </c>
      <c r="Q25" s="31">
        <f>+ROUND('Res .95+% Res Furnace - NEW'!Q25+'Res .95+% Res Furnace - Replace'!Q25+'Res Water Heating .67 EF'!Q25+'Programmable Thermostats'!Q25+'Comm 95+ Furnace - New'!Q25+'Comm 95+% Furnace - Replace'!Q25+Custom!Q25,0)</f>
        <v>0</v>
      </c>
      <c r="R25" s="31">
        <f>+ROUND('Res .95+% Res Furnace - NEW'!R25+'Res .95+% Res Furnace - Replace'!R25+'Res Water Heating .67 EF'!R25+'Programmable Thermostats'!R25+'Comm 95+ Furnace - New'!R25+'Comm 95+% Furnace - Replace'!R25+Custom!R25,0)</f>
        <v>14277</v>
      </c>
      <c r="S25" s="31">
        <f>+ROUND('Res .95+% Res Furnace - NEW'!S25+'Res .95+% Res Furnace - Replace'!S25+'Res Water Heating .67 EF'!S25+'Programmable Thermostats'!S25+'Comm 95+ Furnace - New'!S25+'Comm 95+% Furnace - Replace'!S25+Custom!S25,0)</f>
        <v>38</v>
      </c>
      <c r="T25" s="31">
        <f>+ROUND('Res .95+% Res Furnace - NEW'!T25+'Res .95+% Res Furnace - Replace'!T25+'Res Water Heating .67 EF'!T25+'Programmable Thermostats'!T25+'Comm 95+ Furnace - New'!T25+'Comm 95+% Furnace - Replace'!T25+Custom!T25,0)</f>
        <v>1113</v>
      </c>
      <c r="U25" s="31">
        <f>+ROUND('Res .95+% Res Furnace - NEW'!U25+'Res .95+% Res Furnace - Replace'!U25+'Res Water Heating .67 EF'!U25+'Programmable Thermostats'!U25+'Comm 95+ Furnace - New'!U25+'Comm 95+% Furnace - Replace'!U25+Custom!U25,0)</f>
        <v>6042</v>
      </c>
      <c r="V25" s="31">
        <f t="shared" si="13"/>
        <v>20319</v>
      </c>
      <c r="W25" s="62"/>
      <c r="X25" s="31">
        <f>+ROUND('Res .95+% Res Furnace - NEW'!X25+'Res .95+% Res Furnace - Replace'!X25+'Res Water Heating .67 EF'!X25+'Programmable Thermostats'!X25+'Comm 95+ Furnace - New'!X25+'Comm 95+% Furnace - Replace'!X25+Custom!X25,0)</f>
        <v>6435</v>
      </c>
      <c r="Y25" s="31">
        <f>+ROUND('Res .95+% Res Furnace - NEW'!Y25+'Res .95+% Res Furnace - Replace'!Y25+'Res Water Heating .67 EF'!Y25+'Programmable Thermostats'!Y25+'Comm 95+ Furnace - New'!Y25+'Comm 95+% Furnace - Replace'!Y25+Custom!Y25,0)</f>
        <v>0</v>
      </c>
      <c r="Z25" s="31">
        <f>+ROUND('Res .95+% Res Furnace - NEW'!Z25+'Res .95+% Res Furnace - Replace'!Z25+'Res Water Heating .67 EF'!Z25+'Programmable Thermostats'!Z25+'Comm 95+ Furnace - New'!Z25+'Comm 95+% Furnace - Replace'!Z25+Custom!Z25,0)</f>
        <v>0</v>
      </c>
      <c r="AA25" s="159">
        <f t="shared" si="14"/>
        <v>6435</v>
      </c>
      <c r="AB25" s="15">
        <f t="shared" si="15"/>
        <v>13884</v>
      </c>
      <c r="AE25" s="11">
        <f t="shared" si="16"/>
        <v>2026</v>
      </c>
      <c r="AF25" s="63">
        <f t="shared" si="2"/>
        <v>14277</v>
      </c>
      <c r="AG25" s="27">
        <f t="shared" si="3"/>
        <v>6042</v>
      </c>
      <c r="AH25" s="63">
        <f t="shared" si="30"/>
        <v>20319</v>
      </c>
      <c r="AJ25" s="54">
        <f t="shared" si="17"/>
        <v>0</v>
      </c>
      <c r="AK25" s="54">
        <f t="shared" si="17"/>
        <v>0</v>
      </c>
      <c r="AL25" s="49">
        <f t="shared" si="4"/>
        <v>0</v>
      </c>
      <c r="AN25" s="108">
        <f t="shared" si="5"/>
        <v>20319</v>
      </c>
      <c r="AQ25" s="11">
        <f t="shared" si="18"/>
        <v>2026</v>
      </c>
      <c r="AR25" s="63">
        <f t="shared" si="6"/>
        <v>14277</v>
      </c>
      <c r="AS25" s="63">
        <f t="shared" si="7"/>
        <v>6042</v>
      </c>
      <c r="AT25" s="15">
        <f t="shared" si="7"/>
        <v>20319</v>
      </c>
      <c r="AU25" s="31">
        <f>+ROUND('Res .95+% Res Furnace - NEW'!AT25+'Res .95+% Res Furnace - Replace'!AU25+'Res Water Heating .67 EF'!AU25+'Programmable Thermostats'!AU25+'Comm 95+ Furnace - New'!AU25+'Comm 95+% Furnace - Replace'!AU25+Custom!AU25,0)</f>
        <v>8813</v>
      </c>
      <c r="AV25" s="31">
        <f>+ROUND('Res .95+% Res Furnace - NEW'!AU25+'Res .95+% Res Furnace - Replace'!AV25+'Res Water Heating .67 EF'!AV25+'Programmable Thermostats'!AV25+'Comm 95+ Furnace - New'!AV25+'Comm 95+% Furnace - Replace'!AV25+Custom!AV25,0)</f>
        <v>3</v>
      </c>
      <c r="AW25" s="31">
        <f>+ROUND('Res .95+% Res Furnace - NEW'!AV25+'Res .95+% Res Furnace - Replace'!AW25+'Res Water Heating .67 EF'!AW25+'Programmable Thermostats'!AW25+'Comm 95+ Furnace - New'!AW25+'Comm 95+% Furnace - Replace'!AW25+Custom!AW25,0)</f>
        <v>1746</v>
      </c>
      <c r="AX25" s="134"/>
      <c r="AY25" s="135"/>
      <c r="AZ25" s="63">
        <f t="shared" si="19"/>
        <v>30878</v>
      </c>
      <c r="BA25" s="25"/>
      <c r="BB25" s="31">
        <f>+ROUND('Res .95+% Res Furnace - NEW'!BA25+'Res .95+% Res Furnace - Replace'!BB25+'Res Water Heating .67 EF'!BB25+'Programmable Thermostats'!BB25+'Comm 95+ Furnace - New'!BB25+'Comm 95+% Furnace - Replace'!BB25+Custom!BB25,0)</f>
        <v>0</v>
      </c>
      <c r="BC25" s="31">
        <f>+ROUND('Res .95+% Res Furnace - NEW'!BB25+'Res .95+% Res Furnace - Replace'!BC25+'Res Water Heating .67 EF'!BC25+'Programmable Thermostats'!BC25+'Comm 95+ Furnace - New'!BC25+'Comm 95+% Furnace - Replace'!BC25+Custom!BC25,0)</f>
        <v>0</v>
      </c>
      <c r="BD25" s="64">
        <f t="shared" si="20"/>
        <v>0</v>
      </c>
      <c r="BE25" s="63">
        <f t="shared" si="8"/>
        <v>30878</v>
      </c>
      <c r="BH25" s="11">
        <f t="shared" si="21"/>
        <v>2026</v>
      </c>
      <c r="BI25" s="31">
        <f>+ROUND('Res .95+% Res Furnace - NEW'!BH25+'Res .95+% Res Furnace - Replace'!BI25+'Res Water Heating .67 EF'!BI25+'Programmable Thermostats'!BI25+'Comm 95+ Furnace - New'!BI25+'Comm 95+% Furnace - Replace'!BI25+Custom!BI25,0)</f>
        <v>0</v>
      </c>
      <c r="BJ25" s="31">
        <f>+ROUND('Res .95+% Res Furnace - NEW'!BI25+'Res .95+% Res Furnace - Replace'!BJ25+'Res Water Heating .67 EF'!BJ25+'Programmable Thermostats'!BJ25+'Comm 95+ Furnace - New'!BJ25+'Comm 95+% Furnace - Replace'!BJ25+Custom!BJ25,0)</f>
        <v>3795</v>
      </c>
      <c r="BK25" s="31">
        <f>+ROUND('Res .95+% Res Furnace - NEW'!BJ25+'Res .95+% Res Furnace - Replace'!BK25+'Res Water Heating .67 EF'!BK25+'Programmable Thermostats'!BK25+'Comm 95+ Furnace - New'!BK25+'Comm 95+% Furnace - Replace'!BK25+Custom!BK25,0)</f>
        <v>61</v>
      </c>
      <c r="BL25" s="31">
        <f>+ROUND('Res .95+% Res Furnace - NEW'!BK25+'Res .95+% Res Furnace - Replace'!BL25+'Res Water Heating .67 EF'!BL25+'Programmable Thermostats'!BL25+'Comm 95+ Furnace - New'!BL25+'Comm 95+% Furnace - Replace'!BL25+Custom!BL25,0)</f>
        <v>34145</v>
      </c>
      <c r="BM25" s="31">
        <f>+ROUND('Res .95+% Res Furnace - NEW'!BL25+'Res .95+% Res Furnace - Replace'!BM25+'Res Water Heating .67 EF'!BM25+'Programmable Thermostats'!BM25+'Comm 95+ Furnace - New'!BM25+'Comm 95+% Furnace - Replace'!BM25+Custom!BM25,0)</f>
        <v>1</v>
      </c>
      <c r="BN25" s="31">
        <f>+ROUND('Res .95+% Res Furnace - NEW'!BM25+'Res .95+% Res Furnace - Replace'!BN25+'Res Water Heating .67 EF'!BN25+'Programmable Thermostats'!BN25+'Comm 95+ Furnace - New'!BN25+'Comm 95+% Furnace - Replace'!BN25+Custom!BN25,0)</f>
        <v>54091</v>
      </c>
      <c r="BO25" s="124"/>
      <c r="BP25" s="63">
        <f t="shared" si="9"/>
        <v>88236</v>
      </c>
      <c r="BR25" s="31">
        <f>+ROUND('Res .95+% Res Furnace - NEW'!BQ25+'Res .95+% Res Furnace - Replace'!BR25+'Res Water Heating .67 EF'!BR25+'Programmable Thermostats'!BR25+'Comm 95+ Furnace - New'!BR25+'Comm 95+% Furnace - Replace'!BR25+Custom!BR25,0)</f>
        <v>0</v>
      </c>
      <c r="BS25" s="63"/>
      <c r="BT25" s="15">
        <f t="shared" si="22"/>
        <v>88236</v>
      </c>
      <c r="BW25" s="11">
        <f t="shared" si="23"/>
        <v>2026</v>
      </c>
      <c r="BX25" s="63">
        <f t="shared" si="10"/>
        <v>14277</v>
      </c>
      <c r="BY25" s="20">
        <f t="shared" si="24"/>
        <v>6042</v>
      </c>
      <c r="BZ25" s="169">
        <f t="shared" si="25"/>
        <v>8813</v>
      </c>
      <c r="CA25" s="63">
        <f t="shared" si="26"/>
        <v>29132</v>
      </c>
      <c r="CC25" s="63">
        <f t="shared" si="27"/>
        <v>0</v>
      </c>
      <c r="CD25" s="63">
        <f t="shared" si="27"/>
        <v>0</v>
      </c>
      <c r="CE25" s="63">
        <f t="shared" si="28"/>
        <v>0</v>
      </c>
      <c r="CF25" s="63"/>
      <c r="CG25" s="15">
        <f t="shared" si="29"/>
        <v>29132</v>
      </c>
      <c r="DB25" s="4"/>
    </row>
    <row r="26" spans="1:106">
      <c r="A26" s="3" t="s">
        <v>18</v>
      </c>
      <c r="C26" s="19"/>
      <c r="F26" s="27"/>
      <c r="G26" s="27"/>
      <c r="H26" s="27"/>
      <c r="J26" s="4">
        <f t="shared" si="11"/>
        <v>13</v>
      </c>
      <c r="L26" s="11">
        <f t="shared" si="12"/>
        <v>2027</v>
      </c>
      <c r="M26" s="31">
        <f>+ROUND('Res .95+% Res Furnace - NEW'!M26+'Res .95+% Res Furnace - Replace'!M26+'Res Water Heating .67 EF'!M26+'Programmable Thermostats'!M26+'Comm 95+ Furnace - New'!M26+'Comm 95+% Furnace - Replace'!M26+Custom!M26,0)</f>
        <v>3795</v>
      </c>
      <c r="N26" s="31">
        <f>+ROUND('Res .95+% Res Furnace - NEW'!N26+'Res .95+% Res Furnace - Replace'!N26+'Res Water Heating .67 EF'!N26+'Programmable Thermostats'!N26+'Comm 95+ Furnace - New'!N26+'Comm 95+% Furnace - Replace'!N26+Custom!N26,0)</f>
        <v>27</v>
      </c>
      <c r="O26" s="31">
        <f>+ROUND('Res .95+% Res Furnace - NEW'!O26+'Res .95+% Res Furnace - Replace'!O26+'Res Water Heating .67 EF'!O26+'Programmable Thermostats'!O26+'Comm 95+ Furnace - New'!O26+'Comm 95+% Furnace - Replace'!O26+Custom!O26,0)</f>
        <v>14778</v>
      </c>
      <c r="P26" s="31">
        <f>+ROUND('Res .95+% Res Furnace - NEW'!P26+'Res .95+% Res Furnace - Replace'!P26+'Res Water Heating .67 EF'!P26+'Programmable Thermostats'!P26+'Comm 95+ Furnace - New'!P26+'Comm 95+% Furnace - Replace'!P26+Custom!P26,0)</f>
        <v>0</v>
      </c>
      <c r="Q26" s="31">
        <f>+ROUND('Res .95+% Res Furnace - NEW'!Q26+'Res .95+% Res Furnace - Replace'!Q26+'Res Water Heating .67 EF'!Q26+'Programmable Thermostats'!Q26+'Comm 95+ Furnace - New'!Q26+'Comm 95+% Furnace - Replace'!Q26+Custom!Q26,0)</f>
        <v>0</v>
      </c>
      <c r="R26" s="31">
        <f>+ROUND('Res .95+% Res Furnace - NEW'!R26+'Res .95+% Res Furnace - Replace'!R26+'Res Water Heating .67 EF'!R26+'Programmable Thermostats'!R26+'Comm 95+ Furnace - New'!R26+'Comm 95+% Furnace - Replace'!R26+Custom!R26,0)</f>
        <v>14778</v>
      </c>
      <c r="S26" s="31">
        <f>+ROUND('Res .95+% Res Furnace - NEW'!S26+'Res .95+% Res Furnace - Replace'!S26+'Res Water Heating .67 EF'!S26+'Programmable Thermostats'!S26+'Comm 95+ Furnace - New'!S26+'Comm 95+% Furnace - Replace'!S26+Custom!S26,0)</f>
        <v>38</v>
      </c>
      <c r="T26" s="31">
        <f>+ROUND('Res .95+% Res Furnace - NEW'!T26+'Res .95+% Res Furnace - Replace'!T26+'Res Water Heating .67 EF'!T26+'Programmable Thermostats'!T26+'Comm 95+ Furnace - New'!T26+'Comm 95+% Furnace - Replace'!T26+Custom!T26,0)</f>
        <v>1120</v>
      </c>
      <c r="U26" s="31">
        <f>+ROUND('Res .95+% Res Furnace - NEW'!U26+'Res .95+% Res Furnace - Replace'!U26+'Res Water Heating .67 EF'!U26+'Programmable Thermostats'!U26+'Comm 95+ Furnace - New'!U26+'Comm 95+% Furnace - Replace'!U26+Custom!U26,0)</f>
        <v>6080</v>
      </c>
      <c r="V26" s="31">
        <f t="shared" si="13"/>
        <v>20858</v>
      </c>
      <c r="W26" s="62"/>
      <c r="X26" s="31">
        <f>+ROUND('Res .95+% Res Furnace - NEW'!X26+'Res .95+% Res Furnace - Replace'!X26+'Res Water Heating .67 EF'!X26+'Programmable Thermostats'!X26+'Comm 95+ Furnace - New'!X26+'Comm 95+% Furnace - Replace'!X26+Custom!X26,0)</f>
        <v>6663</v>
      </c>
      <c r="Y26" s="31">
        <f>+ROUND('Res .95+% Res Furnace - NEW'!Y26+'Res .95+% Res Furnace - Replace'!Y26+'Res Water Heating .67 EF'!Y26+'Programmable Thermostats'!Y26+'Comm 95+ Furnace - New'!Y26+'Comm 95+% Furnace - Replace'!Y26+Custom!Y26,0)</f>
        <v>0</v>
      </c>
      <c r="Z26" s="31">
        <f>+ROUND('Res .95+% Res Furnace - NEW'!Z26+'Res .95+% Res Furnace - Replace'!Z26+'Res Water Heating .67 EF'!Z26+'Programmable Thermostats'!Z26+'Comm 95+ Furnace - New'!Z26+'Comm 95+% Furnace - Replace'!Z26+Custom!Z26,0)</f>
        <v>0</v>
      </c>
      <c r="AA26" s="159">
        <f t="shared" si="14"/>
        <v>6663</v>
      </c>
      <c r="AB26" s="15">
        <f t="shared" si="15"/>
        <v>14195</v>
      </c>
      <c r="AE26" s="11">
        <f t="shared" si="16"/>
        <v>2027</v>
      </c>
      <c r="AF26" s="63">
        <f t="shared" si="2"/>
        <v>14778</v>
      </c>
      <c r="AG26" s="27">
        <f t="shared" si="3"/>
        <v>6080</v>
      </c>
      <c r="AH26" s="63">
        <f t="shared" si="30"/>
        <v>20858</v>
      </c>
      <c r="AJ26" s="54">
        <f t="shared" si="17"/>
        <v>0</v>
      </c>
      <c r="AK26" s="54">
        <f t="shared" si="17"/>
        <v>0</v>
      </c>
      <c r="AL26" s="49">
        <f t="shared" si="4"/>
        <v>0</v>
      </c>
      <c r="AN26" s="108">
        <f t="shared" si="5"/>
        <v>20858</v>
      </c>
      <c r="AQ26" s="11">
        <f t="shared" si="18"/>
        <v>2027</v>
      </c>
      <c r="AR26" s="63">
        <f t="shared" si="6"/>
        <v>14778</v>
      </c>
      <c r="AS26" s="63">
        <f t="shared" si="7"/>
        <v>6080</v>
      </c>
      <c r="AT26" s="15">
        <f t="shared" si="7"/>
        <v>20858</v>
      </c>
      <c r="AU26" s="31">
        <f>+ROUND('Res .95+% Res Furnace - NEW'!AT26+'Res .95+% Res Furnace - Replace'!AU26+'Res Water Heating .67 EF'!AU26+'Programmable Thermostats'!AU26+'Comm 95+ Furnace - New'!AU26+'Comm 95+% Furnace - Replace'!AU26+Custom!AU26,0)</f>
        <v>9065</v>
      </c>
      <c r="AV26" s="31">
        <f>+ROUND('Res .95+% Res Furnace - NEW'!AU26+'Res .95+% Res Furnace - Replace'!AV26+'Res Water Heating .67 EF'!AV26+'Programmable Thermostats'!AV26+'Comm 95+ Furnace - New'!AV26+'Comm 95+% Furnace - Replace'!AV26+Custom!AV26,0)</f>
        <v>3</v>
      </c>
      <c r="AW26" s="31">
        <f>+ROUND('Res .95+% Res Furnace - NEW'!AV26+'Res .95+% Res Furnace - Replace'!AW26+'Res Water Heating .67 EF'!AW26+'Programmable Thermostats'!AW26+'Comm 95+ Furnace - New'!AW26+'Comm 95+% Furnace - Replace'!AW26+Custom!AW26,0)</f>
        <v>1784</v>
      </c>
      <c r="AX26" s="134"/>
      <c r="AY26" s="135"/>
      <c r="AZ26" s="63">
        <f t="shared" si="19"/>
        <v>31707</v>
      </c>
      <c r="BA26" s="25"/>
      <c r="BB26" s="31">
        <f>+ROUND('Res .95+% Res Furnace - NEW'!BA26+'Res .95+% Res Furnace - Replace'!BB26+'Res Water Heating .67 EF'!BB26+'Programmable Thermostats'!BB26+'Comm 95+ Furnace - New'!BB26+'Comm 95+% Furnace - Replace'!BB26+Custom!BB26,0)</f>
        <v>0</v>
      </c>
      <c r="BC26" s="31">
        <f>+ROUND('Res .95+% Res Furnace - NEW'!BB26+'Res .95+% Res Furnace - Replace'!BC26+'Res Water Heating .67 EF'!BC26+'Programmable Thermostats'!BC26+'Comm 95+ Furnace - New'!BC26+'Comm 95+% Furnace - Replace'!BC26+Custom!BC26,0)</f>
        <v>0</v>
      </c>
      <c r="BD26" s="64">
        <f t="shared" si="20"/>
        <v>0</v>
      </c>
      <c r="BE26" s="63">
        <f t="shared" si="8"/>
        <v>31707</v>
      </c>
      <c r="BH26" s="11">
        <f t="shared" si="21"/>
        <v>2027</v>
      </c>
      <c r="BI26" s="31">
        <f>+ROUND('Res .95+% Res Furnace - NEW'!BH26+'Res .95+% Res Furnace - Replace'!BI26+'Res Water Heating .67 EF'!BI26+'Programmable Thermostats'!BI26+'Comm 95+ Furnace - New'!BI26+'Comm 95+% Furnace - Replace'!BI26+Custom!BI26,0)</f>
        <v>0</v>
      </c>
      <c r="BJ26" s="31">
        <f>+ROUND('Res .95+% Res Furnace - NEW'!BI26+'Res .95+% Res Furnace - Replace'!BJ26+'Res Water Heating .67 EF'!BJ26+'Programmable Thermostats'!BJ26+'Comm 95+ Furnace - New'!BJ26+'Comm 95+% Furnace - Replace'!BJ26+Custom!BJ26,0)</f>
        <v>3795</v>
      </c>
      <c r="BK26" s="31">
        <f>+ROUND('Res .95+% Res Furnace - NEW'!BJ26+'Res .95+% Res Furnace - Replace'!BK26+'Res Water Heating .67 EF'!BK26+'Programmable Thermostats'!BK26+'Comm 95+ Furnace - New'!BK26+'Comm 95+% Furnace - Replace'!BK26+Custom!BK26,0)</f>
        <v>63</v>
      </c>
      <c r="BL26" s="31">
        <f>+ROUND('Res .95+% Res Furnace - NEW'!BK26+'Res .95+% Res Furnace - Replace'!BL26+'Res Water Heating .67 EF'!BL26+'Programmable Thermostats'!BL26+'Comm 95+ Furnace - New'!BL26+'Comm 95+% Furnace - Replace'!BL26+Custom!BL26,0)</f>
        <v>35341</v>
      </c>
      <c r="BM26" s="31">
        <f>+ROUND('Res .95+% Res Furnace - NEW'!BL26+'Res .95+% Res Furnace - Replace'!BM26+'Res Water Heating .67 EF'!BM26+'Programmable Thermostats'!BM26+'Comm 95+ Furnace - New'!BM26+'Comm 95+% Furnace - Replace'!BM26+Custom!BM26,0)</f>
        <v>2</v>
      </c>
      <c r="BN26" s="31">
        <f>+ROUND('Res .95+% Res Furnace - NEW'!BM26+'Res .95+% Res Furnace - Replace'!BN26+'Res Water Heating .67 EF'!BN26+'Programmable Thermostats'!BN26+'Comm 95+ Furnace - New'!BN26+'Comm 95+% Furnace - Replace'!BN26+Custom!BN26,0)</f>
        <v>55854</v>
      </c>
      <c r="BO26" s="124"/>
      <c r="BP26" s="63">
        <f t="shared" si="9"/>
        <v>91195</v>
      </c>
      <c r="BR26" s="31">
        <f>+ROUND('Res .95+% Res Furnace - NEW'!BQ26+'Res .95+% Res Furnace - Replace'!BR26+'Res Water Heating .67 EF'!BR26+'Programmable Thermostats'!BR26+'Comm 95+ Furnace - New'!BR26+'Comm 95+% Furnace - Replace'!BR26+Custom!BR26,0)</f>
        <v>0</v>
      </c>
      <c r="BS26" s="63"/>
      <c r="BT26" s="15">
        <f t="shared" si="22"/>
        <v>91195</v>
      </c>
      <c r="BW26" s="11">
        <f t="shared" si="23"/>
        <v>2027</v>
      </c>
      <c r="BX26" s="63">
        <f t="shared" si="10"/>
        <v>14778</v>
      </c>
      <c r="BY26" s="20">
        <f t="shared" si="24"/>
        <v>6080</v>
      </c>
      <c r="BZ26" s="169">
        <f t="shared" si="25"/>
        <v>9065</v>
      </c>
      <c r="CA26" s="63">
        <f t="shared" si="26"/>
        <v>29923</v>
      </c>
      <c r="CC26" s="63">
        <f t="shared" si="27"/>
        <v>0</v>
      </c>
      <c r="CD26" s="63">
        <f t="shared" si="27"/>
        <v>0</v>
      </c>
      <c r="CE26" s="63">
        <f t="shared" si="28"/>
        <v>0</v>
      </c>
      <c r="CF26" s="63"/>
      <c r="CG26" s="15">
        <f t="shared" si="29"/>
        <v>29923</v>
      </c>
      <c r="DB26" s="4"/>
    </row>
    <row r="27" spans="1:106">
      <c r="A27" s="3"/>
      <c r="C27" s="19"/>
      <c r="E27" s="3" t="s">
        <v>70</v>
      </c>
      <c r="F27" s="20"/>
      <c r="G27" s="20"/>
      <c r="H27" s="20"/>
      <c r="J27" s="4">
        <f t="shared" si="11"/>
        <v>14</v>
      </c>
      <c r="L27" s="11">
        <f t="shared" si="12"/>
        <v>2028</v>
      </c>
      <c r="M27" s="31">
        <f>+ROUND('Res .95+% Res Furnace - NEW'!M27+'Res .95+% Res Furnace - Replace'!M27+'Res Water Heating .67 EF'!M27+'Programmable Thermostats'!M27+'Comm 95+ Furnace - New'!M27+'Comm 95+% Furnace - Replace'!M27+Custom!M27,0)</f>
        <v>3795</v>
      </c>
      <c r="N27" s="31">
        <f>+ROUND('Res .95+% Res Furnace - NEW'!N27+'Res .95+% Res Furnace - Replace'!N27+'Res Water Heating .67 EF'!N27+'Programmable Thermostats'!N27+'Comm 95+ Furnace - New'!N27+'Comm 95+% Furnace - Replace'!N27+Custom!N27,0)</f>
        <v>28</v>
      </c>
      <c r="O27" s="31">
        <f>+ROUND('Res .95+% Res Furnace - NEW'!O27+'Res .95+% Res Furnace - Replace'!O27+'Res Water Heating .67 EF'!O27+'Programmable Thermostats'!O27+'Comm 95+ Furnace - New'!O27+'Comm 95+% Furnace - Replace'!O27+Custom!O27,0)</f>
        <v>15295</v>
      </c>
      <c r="P27" s="31">
        <f>+ROUND('Res .95+% Res Furnace - NEW'!P27+'Res .95+% Res Furnace - Replace'!P27+'Res Water Heating .67 EF'!P27+'Programmable Thermostats'!P27+'Comm 95+ Furnace - New'!P27+'Comm 95+% Furnace - Replace'!P27+Custom!P27,0)</f>
        <v>0</v>
      </c>
      <c r="Q27" s="31">
        <f>+ROUND('Res .95+% Res Furnace - NEW'!Q27+'Res .95+% Res Furnace - Replace'!Q27+'Res Water Heating .67 EF'!Q27+'Programmable Thermostats'!Q27+'Comm 95+ Furnace - New'!Q27+'Comm 95+% Furnace - Replace'!Q27+Custom!Q27,0)</f>
        <v>0</v>
      </c>
      <c r="R27" s="31">
        <f>+ROUND('Res .95+% Res Furnace - NEW'!R27+'Res .95+% Res Furnace - Replace'!R27+'Res Water Heating .67 EF'!R27+'Programmable Thermostats'!R27+'Comm 95+ Furnace - New'!R27+'Comm 95+% Furnace - Replace'!R27+Custom!R27,0)</f>
        <v>15295</v>
      </c>
      <c r="S27" s="31">
        <f>+ROUND('Res .95+% Res Furnace - NEW'!S27+'Res .95+% Res Furnace - Replace'!S27+'Res Water Heating .67 EF'!S27+'Programmable Thermostats'!S27+'Comm 95+ Furnace - New'!S27+'Comm 95+% Furnace - Replace'!S27+Custom!S27,0)</f>
        <v>38</v>
      </c>
      <c r="T27" s="31">
        <f>+ROUND('Res .95+% Res Furnace - NEW'!T27+'Res .95+% Res Furnace - Replace'!T27+'Res Water Heating .67 EF'!T27+'Programmable Thermostats'!T27+'Comm 95+ Furnace - New'!T27+'Comm 95+% Furnace - Replace'!T27+Custom!T27,0)</f>
        <v>1134</v>
      </c>
      <c r="U27" s="31">
        <f>+ROUND('Res .95+% Res Furnace - NEW'!U27+'Res .95+% Res Furnace - Replace'!U27+'Res Water Heating .67 EF'!U27+'Programmable Thermostats'!U27+'Comm 95+ Furnace - New'!U27+'Comm 95+% Furnace - Replace'!U27+Custom!U27,0)</f>
        <v>6156</v>
      </c>
      <c r="V27" s="31">
        <f t="shared" si="13"/>
        <v>21451</v>
      </c>
      <c r="W27" s="62"/>
      <c r="X27" s="31">
        <f>+ROUND('Res .95+% Res Furnace - NEW'!X27+'Res .95+% Res Furnace - Replace'!X27+'Res Water Heating .67 EF'!X27+'Programmable Thermostats'!X27+'Comm 95+ Furnace - New'!X27+'Comm 95+% Furnace - Replace'!X27+Custom!X27,0)</f>
        <v>6895</v>
      </c>
      <c r="Y27" s="31">
        <f>+ROUND('Res .95+% Res Furnace - NEW'!Y27+'Res .95+% Res Furnace - Replace'!Y27+'Res Water Heating .67 EF'!Y27+'Programmable Thermostats'!Y27+'Comm 95+ Furnace - New'!Y27+'Comm 95+% Furnace - Replace'!Y27+Custom!Y27,0)</f>
        <v>0</v>
      </c>
      <c r="Z27" s="31">
        <f>+ROUND('Res .95+% Res Furnace - NEW'!Z27+'Res .95+% Res Furnace - Replace'!Z27+'Res Water Heating .67 EF'!Z27+'Programmable Thermostats'!Z27+'Comm 95+ Furnace - New'!Z27+'Comm 95+% Furnace - Replace'!Z27+Custom!Z27,0)</f>
        <v>0</v>
      </c>
      <c r="AA27" s="159">
        <f t="shared" si="14"/>
        <v>6895</v>
      </c>
      <c r="AB27" s="15">
        <f t="shared" si="15"/>
        <v>14556</v>
      </c>
      <c r="AE27" s="11">
        <f t="shared" si="16"/>
        <v>2028</v>
      </c>
      <c r="AF27" s="63">
        <f t="shared" si="2"/>
        <v>15295</v>
      </c>
      <c r="AG27" s="27">
        <f t="shared" si="3"/>
        <v>6156</v>
      </c>
      <c r="AH27" s="63">
        <f t="shared" si="30"/>
        <v>21451</v>
      </c>
      <c r="AJ27" s="54">
        <f t="shared" si="17"/>
        <v>0</v>
      </c>
      <c r="AK27" s="54">
        <f t="shared" si="17"/>
        <v>0</v>
      </c>
      <c r="AL27" s="49">
        <f t="shared" si="4"/>
        <v>0</v>
      </c>
      <c r="AN27" s="108">
        <f t="shared" si="5"/>
        <v>21451</v>
      </c>
      <c r="AQ27" s="11">
        <f t="shared" si="18"/>
        <v>2028</v>
      </c>
      <c r="AR27" s="63">
        <f t="shared" si="6"/>
        <v>15295</v>
      </c>
      <c r="AS27" s="63">
        <f t="shared" si="7"/>
        <v>6156</v>
      </c>
      <c r="AT27" s="15">
        <f t="shared" si="7"/>
        <v>21451</v>
      </c>
      <c r="AU27" s="31">
        <f>+ROUND('Res .95+% Res Furnace - NEW'!AT27+'Res .95+% Res Furnace - Replace'!AU27+'Res Water Heating .67 EF'!AU27+'Programmable Thermostats'!AU27+'Comm 95+ Furnace - New'!AU27+'Comm 95+% Furnace - Replace'!AU27+Custom!AU27,0)</f>
        <v>9317</v>
      </c>
      <c r="AV27" s="31">
        <f>+ROUND('Res .95+% Res Furnace - NEW'!AU27+'Res .95+% Res Furnace - Replace'!AV27+'Res Water Heating .67 EF'!AV27+'Programmable Thermostats'!AV27+'Comm 95+ Furnace - New'!AV27+'Comm 95+% Furnace - Replace'!AV27+Custom!AV27,0)</f>
        <v>3</v>
      </c>
      <c r="AW27" s="31">
        <f>+ROUND('Res .95+% Res Furnace - NEW'!AV27+'Res .95+% Res Furnace - Replace'!AW27+'Res Water Heating .67 EF'!AW27+'Programmable Thermostats'!AW27+'Comm 95+ Furnace - New'!AW27+'Comm 95+% Furnace - Replace'!AW27+Custom!AW27,0)</f>
        <v>1825</v>
      </c>
      <c r="AX27" s="134"/>
      <c r="AY27" s="135"/>
      <c r="AZ27" s="63">
        <f t="shared" si="19"/>
        <v>32593</v>
      </c>
      <c r="BA27" s="25"/>
      <c r="BB27" s="31">
        <f>+ROUND('Res .95+% Res Furnace - NEW'!BA27+'Res .95+% Res Furnace - Replace'!BB27+'Res Water Heating .67 EF'!BB27+'Programmable Thermostats'!BB27+'Comm 95+ Furnace - New'!BB27+'Comm 95+% Furnace - Replace'!BB27+Custom!BB27,0)</f>
        <v>0</v>
      </c>
      <c r="BC27" s="31">
        <f>+ROUND('Res .95+% Res Furnace - NEW'!BB27+'Res .95+% Res Furnace - Replace'!BC27+'Res Water Heating .67 EF'!BC27+'Programmable Thermostats'!BC27+'Comm 95+ Furnace - New'!BC27+'Comm 95+% Furnace - Replace'!BC27+Custom!BC27,0)</f>
        <v>0</v>
      </c>
      <c r="BD27" s="64">
        <f t="shared" si="20"/>
        <v>0</v>
      </c>
      <c r="BE27" s="63">
        <f t="shared" si="8"/>
        <v>32593</v>
      </c>
      <c r="BH27" s="11">
        <f t="shared" si="21"/>
        <v>2028</v>
      </c>
      <c r="BI27" s="31">
        <f>+ROUND('Res .95+% Res Furnace - NEW'!BH27+'Res .95+% Res Furnace - Replace'!BI27+'Res Water Heating .67 EF'!BI27+'Programmable Thermostats'!BI27+'Comm 95+ Furnace - New'!BI27+'Comm 95+% Furnace - Replace'!BI27+Custom!BI27,0)</f>
        <v>0</v>
      </c>
      <c r="BJ27" s="31">
        <f>+ROUND('Res .95+% Res Furnace - NEW'!BI27+'Res .95+% Res Furnace - Replace'!BJ27+'Res Water Heating .67 EF'!BJ27+'Programmable Thermostats'!BJ27+'Comm 95+ Furnace - New'!BJ27+'Comm 95+% Furnace - Replace'!BJ27+Custom!BJ27,0)</f>
        <v>3795</v>
      </c>
      <c r="BK27" s="31">
        <f>+ROUND('Res .95+% Res Furnace - NEW'!BJ27+'Res .95+% Res Furnace - Replace'!BK27+'Res Water Heating .67 EF'!BK27+'Programmable Thermostats'!BK27+'Comm 95+ Furnace - New'!BK27+'Comm 95+% Furnace - Replace'!BK27+Custom!BK27,0)</f>
        <v>66</v>
      </c>
      <c r="BL27" s="31">
        <f>+ROUND('Res .95+% Res Furnace - NEW'!BK27+'Res .95+% Res Furnace - Replace'!BL27+'Res Water Heating .67 EF'!BL27+'Programmable Thermostats'!BL27+'Comm 95+ Furnace - New'!BL27+'Comm 95+% Furnace - Replace'!BL27+Custom!BL27,0)</f>
        <v>36579</v>
      </c>
      <c r="BM27" s="31">
        <f>+ROUND('Res .95+% Res Furnace - NEW'!BL27+'Res .95+% Res Furnace - Replace'!BM27+'Res Water Heating .67 EF'!BM27+'Programmable Thermostats'!BM27+'Comm 95+ Furnace - New'!BM27+'Comm 95+% Furnace - Replace'!BM27+Custom!BM27,0)</f>
        <v>2</v>
      </c>
      <c r="BN27" s="31">
        <f>+ROUND('Res .95+% Res Furnace - NEW'!BM27+'Res .95+% Res Furnace - Replace'!BN27+'Res Water Heating .67 EF'!BN27+'Programmable Thermostats'!BN27+'Comm 95+ Furnace - New'!BN27+'Comm 95+% Furnace - Replace'!BN27+Custom!BN27,0)</f>
        <v>57868</v>
      </c>
      <c r="BO27" s="124"/>
      <c r="BP27" s="63">
        <f t="shared" si="9"/>
        <v>94447</v>
      </c>
      <c r="BR27" s="31">
        <f>+ROUND('Res .95+% Res Furnace - NEW'!BQ27+'Res .95+% Res Furnace - Replace'!BR27+'Res Water Heating .67 EF'!BR27+'Programmable Thermostats'!BR27+'Comm 95+ Furnace - New'!BR27+'Comm 95+% Furnace - Replace'!BR27+Custom!BR27,0)</f>
        <v>0</v>
      </c>
      <c r="BS27" s="63"/>
      <c r="BT27" s="15">
        <f t="shared" si="22"/>
        <v>94447</v>
      </c>
      <c r="BW27" s="11">
        <f t="shared" si="23"/>
        <v>2028</v>
      </c>
      <c r="BX27" s="63">
        <f t="shared" si="10"/>
        <v>15295</v>
      </c>
      <c r="BY27" s="20">
        <f t="shared" si="24"/>
        <v>6156</v>
      </c>
      <c r="BZ27" s="169">
        <f t="shared" si="25"/>
        <v>9317</v>
      </c>
      <c r="CA27" s="63">
        <f t="shared" si="26"/>
        <v>30768</v>
      </c>
      <c r="CC27" s="63">
        <f t="shared" si="27"/>
        <v>0</v>
      </c>
      <c r="CD27" s="63">
        <f t="shared" si="27"/>
        <v>0</v>
      </c>
      <c r="CE27" s="63">
        <f t="shared" si="28"/>
        <v>0</v>
      </c>
      <c r="CF27" s="63"/>
      <c r="CG27" s="15">
        <f t="shared" si="29"/>
        <v>30768</v>
      </c>
      <c r="DB27" s="4"/>
    </row>
    <row r="28" spans="1:106">
      <c r="A28" s="3" t="s">
        <v>71</v>
      </c>
      <c r="C28" s="14"/>
      <c r="E28" s="3" t="s">
        <v>72</v>
      </c>
      <c r="F28" s="20"/>
      <c r="G28" s="20"/>
      <c r="H28" s="20"/>
      <c r="J28" s="4">
        <f t="shared" si="11"/>
        <v>15</v>
      </c>
      <c r="L28" s="11">
        <f t="shared" si="12"/>
        <v>2029</v>
      </c>
      <c r="M28" s="31">
        <f>+ROUND('Res .95+% Res Furnace - NEW'!M28+'Res .95+% Res Furnace - Replace'!M28+'Res Water Heating .67 EF'!M28+'Programmable Thermostats'!M28+'Comm 95+ Furnace - New'!M28+'Comm 95+% Furnace - Replace'!M28+Custom!M28,0)</f>
        <v>3795</v>
      </c>
      <c r="N28" s="31">
        <f>+ROUND('Res .95+% Res Furnace - NEW'!N28+'Res .95+% Res Furnace - Replace'!N28+'Res Water Heating .67 EF'!N28+'Programmable Thermostats'!N28+'Comm 95+ Furnace - New'!N28+'Comm 95+% Furnace - Replace'!N28+Custom!N28,0)</f>
        <v>29</v>
      </c>
      <c r="O28" s="31">
        <f>+ROUND('Res .95+% Res Furnace - NEW'!O28+'Res .95+% Res Furnace - Replace'!O28+'Res Water Heating .67 EF'!O28+'Programmable Thermostats'!O28+'Comm 95+ Furnace - New'!O28+'Comm 95+% Furnace - Replace'!O28+Custom!O28,0)</f>
        <v>15830</v>
      </c>
      <c r="P28" s="31">
        <f>+ROUND('Res .95+% Res Furnace - NEW'!P28+'Res .95+% Res Furnace - Replace'!P28+'Res Water Heating .67 EF'!P28+'Programmable Thermostats'!P28+'Comm 95+ Furnace - New'!P28+'Comm 95+% Furnace - Replace'!P28+Custom!P28,0)</f>
        <v>0</v>
      </c>
      <c r="Q28" s="31">
        <f>+ROUND('Res .95+% Res Furnace - NEW'!Q28+'Res .95+% Res Furnace - Replace'!Q28+'Res Water Heating .67 EF'!Q28+'Programmable Thermostats'!Q28+'Comm 95+ Furnace - New'!Q28+'Comm 95+% Furnace - Replace'!Q28+Custom!Q28,0)</f>
        <v>0</v>
      </c>
      <c r="R28" s="31">
        <f>+ROUND('Res .95+% Res Furnace - NEW'!R28+'Res .95+% Res Furnace - Replace'!R28+'Res Water Heating .67 EF'!R28+'Programmable Thermostats'!R28+'Comm 95+ Furnace - New'!R28+'Comm 95+% Furnace - Replace'!R28+Custom!R28,0)</f>
        <v>15830</v>
      </c>
      <c r="S28" s="31">
        <f>+ROUND('Res .95+% Res Furnace - NEW'!S28+'Res .95+% Res Furnace - Replace'!S28+'Res Water Heating .67 EF'!S28+'Programmable Thermostats'!S28+'Comm 95+ Furnace - New'!S28+'Comm 95+% Furnace - Replace'!S28+Custom!S28,0)</f>
        <v>38</v>
      </c>
      <c r="T28" s="31">
        <f>+ROUND('Res .95+% Res Furnace - NEW'!T28+'Res .95+% Res Furnace - Replace'!T28+'Res Water Heating .67 EF'!T28+'Programmable Thermostats'!T28+'Comm 95+ Furnace - New'!T28+'Comm 95+% Furnace - Replace'!T28+Custom!T28,0)</f>
        <v>1141</v>
      </c>
      <c r="U28" s="31">
        <f>+ROUND('Res .95+% Res Furnace - NEW'!U28+'Res .95+% Res Furnace - Replace'!U28+'Res Water Heating .67 EF'!U28+'Programmable Thermostats'!U28+'Comm 95+ Furnace - New'!U28+'Comm 95+% Furnace - Replace'!U28+Custom!U28,0)</f>
        <v>6195</v>
      </c>
      <c r="V28" s="31">
        <f t="shared" si="13"/>
        <v>22025</v>
      </c>
      <c r="W28" s="62"/>
      <c r="X28" s="31">
        <f>+ROUND('Res .95+% Res Furnace - NEW'!X28+'Res .95+% Res Furnace - Replace'!X28+'Res Water Heating .67 EF'!X28+'Programmable Thermostats'!X28+'Comm 95+ Furnace - New'!X28+'Comm 95+% Furnace - Replace'!X28+Custom!X28,0)</f>
        <v>7136</v>
      </c>
      <c r="Y28" s="31">
        <f>+ROUND('Res .95+% Res Furnace - NEW'!Y28+'Res .95+% Res Furnace - Replace'!Y28+'Res Water Heating .67 EF'!Y28+'Programmable Thermostats'!Y28+'Comm 95+ Furnace - New'!Y28+'Comm 95+% Furnace - Replace'!Y28+Custom!Y28,0)</f>
        <v>0</v>
      </c>
      <c r="Z28" s="31">
        <f>+ROUND('Res .95+% Res Furnace - NEW'!Z28+'Res .95+% Res Furnace - Replace'!Z28+'Res Water Heating .67 EF'!Z28+'Programmable Thermostats'!Z28+'Comm 95+ Furnace - New'!Z28+'Comm 95+% Furnace - Replace'!Z28+Custom!Z28,0)</f>
        <v>0</v>
      </c>
      <c r="AA28" s="159">
        <f t="shared" si="14"/>
        <v>7136</v>
      </c>
      <c r="AB28" s="15">
        <f t="shared" si="15"/>
        <v>14889</v>
      </c>
      <c r="AE28" s="11">
        <f t="shared" si="16"/>
        <v>2029</v>
      </c>
      <c r="AF28" s="63">
        <f t="shared" si="2"/>
        <v>15830</v>
      </c>
      <c r="AG28" s="27">
        <f t="shared" si="3"/>
        <v>6195</v>
      </c>
      <c r="AH28" s="63">
        <f t="shared" si="30"/>
        <v>22025</v>
      </c>
      <c r="AJ28" s="54">
        <f t="shared" si="17"/>
        <v>0</v>
      </c>
      <c r="AK28" s="54">
        <f t="shared" si="17"/>
        <v>0</v>
      </c>
      <c r="AL28" s="49">
        <f t="shared" si="4"/>
        <v>0</v>
      </c>
      <c r="AN28" s="108">
        <f t="shared" si="5"/>
        <v>22025</v>
      </c>
      <c r="AQ28" s="11">
        <f t="shared" si="18"/>
        <v>2029</v>
      </c>
      <c r="AR28" s="63">
        <f t="shared" si="6"/>
        <v>15830</v>
      </c>
      <c r="AS28" s="63">
        <f t="shared" si="7"/>
        <v>6195</v>
      </c>
      <c r="AT28" s="15">
        <f t="shared" si="7"/>
        <v>22025</v>
      </c>
      <c r="AU28" s="31">
        <f>+ROUND('Res .95+% Res Furnace - NEW'!AT28+'Res .95+% Res Furnace - Replace'!AU28+'Res Water Heating .67 EF'!AU28+'Programmable Thermostats'!AU28+'Comm 95+ Furnace - New'!AU28+'Comm 95+% Furnace - Replace'!AU28+Custom!AU28,0)</f>
        <v>9569</v>
      </c>
      <c r="AV28" s="31">
        <f>+ROUND('Res .95+% Res Furnace - NEW'!AU28+'Res .95+% Res Furnace - Replace'!AV28+'Res Water Heating .67 EF'!AV28+'Programmable Thermostats'!AV28+'Comm 95+ Furnace - New'!AV28+'Comm 95+% Furnace - Replace'!AV28+Custom!AV28,0)</f>
        <v>3</v>
      </c>
      <c r="AW28" s="31">
        <f>+ROUND('Res .95+% Res Furnace - NEW'!AV28+'Res .95+% Res Furnace - Replace'!AW28+'Res Water Heating .67 EF'!AW28+'Programmable Thermostats'!AW28+'Comm 95+ Furnace - New'!AW28+'Comm 95+% Furnace - Replace'!AW28+Custom!AW28,0)</f>
        <v>1867</v>
      </c>
      <c r="AX28" s="134"/>
      <c r="AY28" s="135"/>
      <c r="AZ28" s="63">
        <f t="shared" si="19"/>
        <v>33461</v>
      </c>
      <c r="BA28" s="25"/>
      <c r="BB28" s="31">
        <f>+ROUND('Res .95+% Res Furnace - NEW'!BA28+'Res .95+% Res Furnace - Replace'!BB28+'Res Water Heating .67 EF'!BB28+'Programmable Thermostats'!BB28+'Comm 95+ Furnace - New'!BB28+'Comm 95+% Furnace - Replace'!BB28+Custom!BB28,0)</f>
        <v>0</v>
      </c>
      <c r="BC28" s="31">
        <f>+ROUND('Res .95+% Res Furnace - NEW'!BB28+'Res .95+% Res Furnace - Replace'!BC28+'Res Water Heating .67 EF'!BC28+'Programmable Thermostats'!BC28+'Comm 95+ Furnace - New'!BC28+'Comm 95+% Furnace - Replace'!BC28+Custom!BC28,0)</f>
        <v>0</v>
      </c>
      <c r="BD28" s="64">
        <f t="shared" si="20"/>
        <v>0</v>
      </c>
      <c r="BE28" s="63">
        <f t="shared" si="8"/>
        <v>33461</v>
      </c>
      <c r="BH28" s="11">
        <f t="shared" si="21"/>
        <v>2029</v>
      </c>
      <c r="BI28" s="31">
        <f>+ROUND('Res .95+% Res Furnace - NEW'!BH28+'Res .95+% Res Furnace - Replace'!BI28+'Res Water Heating .67 EF'!BI28+'Programmable Thermostats'!BI28+'Comm 95+ Furnace - New'!BI28+'Comm 95+% Furnace - Replace'!BI28+Custom!BI28,0)</f>
        <v>0</v>
      </c>
      <c r="BJ28" s="31">
        <f>+ROUND('Res .95+% Res Furnace - NEW'!BI28+'Res .95+% Res Furnace - Replace'!BJ28+'Res Water Heating .67 EF'!BJ28+'Programmable Thermostats'!BJ28+'Comm 95+ Furnace - New'!BJ28+'Comm 95+% Furnace - Replace'!BJ28+Custom!BJ28,0)</f>
        <v>3795</v>
      </c>
      <c r="BK28" s="31">
        <f>+ROUND('Res .95+% Res Furnace - NEW'!BJ28+'Res .95+% Res Furnace - Replace'!BK28+'Res Water Heating .67 EF'!BK28+'Programmable Thermostats'!BK28+'Comm 95+ Furnace - New'!BK28+'Comm 95+% Furnace - Replace'!BK28+Custom!BK28,0)</f>
        <v>68</v>
      </c>
      <c r="BL28" s="31">
        <f>+ROUND('Res .95+% Res Furnace - NEW'!BK28+'Res .95+% Res Furnace - Replace'!BL28+'Res Water Heating .67 EF'!BL28+'Programmable Thermostats'!BL28+'Comm 95+ Furnace - New'!BL28+'Comm 95+% Furnace - Replace'!BL28+Custom!BL28,0)</f>
        <v>37858</v>
      </c>
      <c r="BM28" s="31">
        <f>+ROUND('Res .95+% Res Furnace - NEW'!BL28+'Res .95+% Res Furnace - Replace'!BM28+'Res Water Heating .67 EF'!BM28+'Programmable Thermostats'!BM28+'Comm 95+ Furnace - New'!BM28+'Comm 95+% Furnace - Replace'!BM28+Custom!BM28,0)</f>
        <v>2</v>
      </c>
      <c r="BN28" s="31">
        <f>+ROUND('Res .95+% Res Furnace - NEW'!BM28+'Res .95+% Res Furnace - Replace'!BN28+'Res Water Heating .67 EF'!BN28+'Programmable Thermostats'!BN28+'Comm 95+ Furnace - New'!BN28+'Comm 95+% Furnace - Replace'!BN28+Custom!BN28,0)</f>
        <v>59878</v>
      </c>
      <c r="BO28" s="124"/>
      <c r="BP28" s="63">
        <f t="shared" si="9"/>
        <v>97736</v>
      </c>
      <c r="BR28" s="31">
        <f>+ROUND('Res .95+% Res Furnace - NEW'!BQ28+'Res .95+% Res Furnace - Replace'!BR28+'Res Water Heating .67 EF'!BR28+'Programmable Thermostats'!BR28+'Comm 95+ Furnace - New'!BR28+'Comm 95+% Furnace - Replace'!BR28+Custom!BR28,0)</f>
        <v>0</v>
      </c>
      <c r="BS28" s="63"/>
      <c r="BT28" s="15">
        <f t="shared" si="22"/>
        <v>97736</v>
      </c>
      <c r="BW28" s="11">
        <f t="shared" si="23"/>
        <v>2029</v>
      </c>
      <c r="BX28" s="63">
        <f t="shared" si="10"/>
        <v>15830</v>
      </c>
      <c r="BY28" s="20">
        <f t="shared" si="24"/>
        <v>6195</v>
      </c>
      <c r="BZ28" s="169">
        <f t="shared" si="25"/>
        <v>9569</v>
      </c>
      <c r="CA28" s="63">
        <f t="shared" si="26"/>
        <v>31594</v>
      </c>
      <c r="CC28" s="63">
        <f t="shared" si="27"/>
        <v>0</v>
      </c>
      <c r="CD28" s="63">
        <f t="shared" si="27"/>
        <v>0</v>
      </c>
      <c r="CE28" s="63">
        <f t="shared" si="28"/>
        <v>0</v>
      </c>
      <c r="CF28" s="63"/>
      <c r="CG28" s="15">
        <f t="shared" si="29"/>
        <v>31594</v>
      </c>
      <c r="DB28" s="4"/>
    </row>
    <row r="29" spans="1:106">
      <c r="A29" s="3" t="s">
        <v>47</v>
      </c>
      <c r="C29" s="19"/>
      <c r="E29" s="3"/>
      <c r="F29" s="20"/>
      <c r="G29" s="20"/>
      <c r="H29" s="20"/>
      <c r="J29" s="4">
        <f t="shared" si="11"/>
        <v>16</v>
      </c>
      <c r="L29" s="11">
        <f t="shared" si="12"/>
        <v>2030</v>
      </c>
      <c r="M29" s="31">
        <f>+ROUND('Res .95+% Res Furnace - NEW'!M29+'Res .95+% Res Furnace - Replace'!M29+'Res Water Heating .67 EF'!M29+'Programmable Thermostats'!M29+'Comm 95+ Furnace - New'!M29+'Comm 95+% Furnace - Replace'!M29+Custom!M29,0)</f>
        <v>3795</v>
      </c>
      <c r="N29" s="31">
        <f>+ROUND('Res .95+% Res Furnace - NEW'!N29+'Res .95+% Res Furnace - Replace'!N29+'Res Water Heating .67 EF'!N29+'Programmable Thermostats'!N29+'Comm 95+ Furnace - New'!N29+'Comm 95+% Furnace - Replace'!N29+Custom!N29,0)</f>
        <v>30</v>
      </c>
      <c r="O29" s="31">
        <f>+ROUND('Res .95+% Res Furnace - NEW'!O29+'Res .95+% Res Furnace - Replace'!O29+'Res Water Heating .67 EF'!O29+'Programmable Thermostats'!O29+'Comm 95+ Furnace - New'!O29+'Comm 95+% Furnace - Replace'!O29+Custom!O29,0)</f>
        <v>16383</v>
      </c>
      <c r="P29" s="31">
        <f>+ROUND('Res .95+% Res Furnace - NEW'!P29+'Res .95+% Res Furnace - Replace'!P29+'Res Water Heating .67 EF'!P29+'Programmable Thermostats'!P29+'Comm 95+ Furnace - New'!P29+'Comm 95+% Furnace - Replace'!P29+Custom!P29,0)</f>
        <v>0</v>
      </c>
      <c r="Q29" s="31">
        <f>+ROUND('Res .95+% Res Furnace - NEW'!Q29+'Res .95+% Res Furnace - Replace'!Q29+'Res Water Heating .67 EF'!Q29+'Programmable Thermostats'!Q29+'Comm 95+ Furnace - New'!Q29+'Comm 95+% Furnace - Replace'!Q29+Custom!Q29,0)</f>
        <v>0</v>
      </c>
      <c r="R29" s="31">
        <f>+ROUND('Res .95+% Res Furnace - NEW'!R29+'Res .95+% Res Furnace - Replace'!R29+'Res Water Heating .67 EF'!R29+'Programmable Thermostats'!R29+'Comm 95+ Furnace - New'!R29+'Comm 95+% Furnace - Replace'!R29+Custom!R29,0)</f>
        <v>16383</v>
      </c>
      <c r="S29" s="31">
        <f>+ROUND('Res .95+% Res Furnace - NEW'!S29+'Res .95+% Res Furnace - Replace'!S29+'Res Water Heating .67 EF'!S29+'Programmable Thermostats'!S29+'Comm 95+ Furnace - New'!S29+'Comm 95+% Furnace - Replace'!S29+Custom!S29,0)</f>
        <v>38</v>
      </c>
      <c r="T29" s="31">
        <f>+ROUND('Res .95+% Res Furnace - NEW'!T29+'Res .95+% Res Furnace - Replace'!T29+'Res Water Heating .67 EF'!T29+'Programmable Thermostats'!T29+'Comm 95+ Furnace - New'!T29+'Comm 95+% Furnace - Replace'!T29+Custom!T29,0)</f>
        <v>1155</v>
      </c>
      <c r="U29" s="31">
        <f>+ROUND('Res .95+% Res Furnace - NEW'!U29+'Res .95+% Res Furnace - Replace'!U29+'Res Water Heating .67 EF'!U29+'Programmable Thermostats'!U29+'Comm 95+ Furnace - New'!U29+'Comm 95+% Furnace - Replace'!U29+Custom!U29,0)</f>
        <v>6271</v>
      </c>
      <c r="V29" s="31">
        <f t="shared" si="13"/>
        <v>22654</v>
      </c>
      <c r="W29" s="62"/>
      <c r="X29" s="31">
        <f>+ROUND('Res .95+% Res Furnace - NEW'!X29+'Res .95+% Res Furnace - Replace'!X29+'Res Water Heating .67 EF'!X29+'Programmable Thermostats'!X29+'Comm 95+ Furnace - New'!X29+'Comm 95+% Furnace - Replace'!X29+Custom!X29,0)</f>
        <v>7385</v>
      </c>
      <c r="Y29" s="31">
        <f>+ROUND('Res .95+% Res Furnace - NEW'!Y29+'Res .95+% Res Furnace - Replace'!Y29+'Res Water Heating .67 EF'!Y29+'Programmable Thermostats'!Y29+'Comm 95+ Furnace - New'!Y29+'Comm 95+% Furnace - Replace'!Y29+Custom!Y29,0)</f>
        <v>0</v>
      </c>
      <c r="Z29" s="31">
        <f>+ROUND('Res .95+% Res Furnace - NEW'!Z29+'Res .95+% Res Furnace - Replace'!Z29+'Res Water Heating .67 EF'!Z29+'Programmable Thermostats'!Z29+'Comm 95+ Furnace - New'!Z29+'Comm 95+% Furnace - Replace'!Z29+Custom!Z29,0)</f>
        <v>0</v>
      </c>
      <c r="AA29" s="159">
        <f t="shared" si="14"/>
        <v>7385</v>
      </c>
      <c r="AB29" s="15">
        <f t="shared" si="15"/>
        <v>15269</v>
      </c>
      <c r="AE29" s="11">
        <f t="shared" si="16"/>
        <v>2030</v>
      </c>
      <c r="AF29" s="63">
        <f t="shared" si="2"/>
        <v>16383</v>
      </c>
      <c r="AG29" s="27">
        <f t="shared" si="3"/>
        <v>6271</v>
      </c>
      <c r="AH29" s="63">
        <f t="shared" si="30"/>
        <v>22654</v>
      </c>
      <c r="AJ29" s="54">
        <f t="shared" si="17"/>
        <v>0</v>
      </c>
      <c r="AK29" s="54">
        <f t="shared" si="17"/>
        <v>0</v>
      </c>
      <c r="AL29" s="49">
        <f t="shared" si="4"/>
        <v>0</v>
      </c>
      <c r="AN29" s="108">
        <f t="shared" si="5"/>
        <v>22654</v>
      </c>
      <c r="AQ29" s="11">
        <f t="shared" si="18"/>
        <v>2030</v>
      </c>
      <c r="AR29" s="66">
        <f t="shared" si="6"/>
        <v>16383</v>
      </c>
      <c r="AS29" s="63">
        <f t="shared" si="7"/>
        <v>6271</v>
      </c>
      <c r="AT29" s="15">
        <f t="shared" si="7"/>
        <v>22654</v>
      </c>
      <c r="AU29" s="31">
        <f>+ROUND('Res .95+% Res Furnace - NEW'!AT29+'Res .95+% Res Furnace - Replace'!AU29+'Res Water Heating .67 EF'!AU29+'Programmable Thermostats'!AU29+'Comm 95+ Furnace - New'!AU29+'Comm 95+% Furnace - Replace'!AU29+Custom!AU29,0)</f>
        <v>10073</v>
      </c>
      <c r="AV29" s="31">
        <f>+ROUND('Res .95+% Res Furnace - NEW'!AU29+'Res .95+% Res Furnace - Replace'!AV29+'Res Water Heating .67 EF'!AV29+'Programmable Thermostats'!AV29+'Comm 95+ Furnace - New'!AV29+'Comm 95+% Furnace - Replace'!AV29+Custom!AV29,0)</f>
        <v>4</v>
      </c>
      <c r="AW29" s="31">
        <f>+ROUND('Res .95+% Res Furnace - NEW'!AV29+'Res .95+% Res Furnace - Replace'!AW29+'Res Water Heating .67 EF'!AW29+'Programmable Thermostats'!AW29+'Comm 95+ Furnace - New'!AW29+'Comm 95+% Furnace - Replace'!AW29+Custom!AW29,0)</f>
        <v>1913</v>
      </c>
      <c r="AX29" s="134"/>
      <c r="AY29" s="135"/>
      <c r="AZ29" s="66">
        <f t="shared" si="19"/>
        <v>34640</v>
      </c>
      <c r="BA29" s="25"/>
      <c r="BB29" s="31">
        <f>+ROUND('Res .95+% Res Furnace - NEW'!BA29+'Res .95+% Res Furnace - Replace'!BB29+'Res Water Heating .67 EF'!BB29+'Programmable Thermostats'!BB29+'Comm 95+ Furnace - New'!BB29+'Comm 95+% Furnace - Replace'!BB29+Custom!BB29,0)</f>
        <v>0</v>
      </c>
      <c r="BC29" s="31">
        <f>+ROUND('Res .95+% Res Furnace - NEW'!BB29+'Res .95+% Res Furnace - Replace'!BC29+'Res Water Heating .67 EF'!BC29+'Programmable Thermostats'!BC29+'Comm 95+ Furnace - New'!BC29+'Comm 95+% Furnace - Replace'!BC29+Custom!BC29,0)</f>
        <v>0</v>
      </c>
      <c r="BD29" s="64">
        <f t="shared" si="20"/>
        <v>0</v>
      </c>
      <c r="BE29" s="66">
        <f t="shared" si="8"/>
        <v>34640</v>
      </c>
      <c r="BH29" s="11">
        <f t="shared" si="21"/>
        <v>2030</v>
      </c>
      <c r="BI29" s="31">
        <f>+ROUND('Res .95+% Res Furnace - NEW'!BH29+'Res .95+% Res Furnace - Replace'!BI29+'Res Water Heating .67 EF'!BI29+'Programmable Thermostats'!BI29+'Comm 95+ Furnace - New'!BI29+'Comm 95+% Furnace - Replace'!BI29+Custom!BI29,0)</f>
        <v>0</v>
      </c>
      <c r="BJ29" s="31">
        <f>+ROUND('Res .95+% Res Furnace - NEW'!BI29+'Res .95+% Res Furnace - Replace'!BJ29+'Res Water Heating .67 EF'!BJ29+'Programmable Thermostats'!BJ29+'Comm 95+ Furnace - New'!BJ29+'Comm 95+% Furnace - Replace'!BJ29+Custom!BJ29,0)</f>
        <v>3795</v>
      </c>
      <c r="BK29" s="31">
        <f>+ROUND('Res .95+% Res Furnace - NEW'!BJ29+'Res .95+% Res Furnace - Replace'!BK29+'Res Water Heating .67 EF'!BK29+'Programmable Thermostats'!BK29+'Comm 95+ Furnace - New'!BK29+'Comm 95+% Furnace - Replace'!BK29+Custom!BK29,0)</f>
        <v>70</v>
      </c>
      <c r="BL29" s="31">
        <f>+ROUND('Res .95+% Res Furnace - NEW'!BK29+'Res .95+% Res Furnace - Replace'!BL29+'Res Water Heating .67 EF'!BL29+'Programmable Thermostats'!BL29+'Comm 95+ Furnace - New'!BL29+'Comm 95+% Furnace - Replace'!BL29+Custom!BL29,0)</f>
        <v>39182</v>
      </c>
      <c r="BM29" s="31">
        <f>+ROUND('Res .95+% Res Furnace - NEW'!BL29+'Res .95+% Res Furnace - Replace'!BM29+'Res Water Heating .67 EF'!BM29+'Programmable Thermostats'!BM29+'Comm 95+ Furnace - New'!BM29+'Comm 95+% Furnace - Replace'!BM29+Custom!BM29,0)</f>
        <v>2</v>
      </c>
      <c r="BN29" s="31">
        <f>+ROUND('Res .95+% Res Furnace - NEW'!BM29+'Res .95+% Res Furnace - Replace'!BN29+'Res Water Heating .67 EF'!BN29+'Programmable Thermostats'!BN29+'Comm 95+ Furnace - New'!BN29+'Comm 95+% Furnace - Replace'!BN29+Custom!BN29,0)</f>
        <v>61893</v>
      </c>
      <c r="BO29" s="124"/>
      <c r="BP29" s="63">
        <f t="shared" si="9"/>
        <v>101075</v>
      </c>
      <c r="BR29" s="31">
        <f>+ROUND('Res .95+% Res Furnace - NEW'!BQ29+'Res .95+% Res Furnace - Replace'!BR29+'Res Water Heating .67 EF'!BR29+'Programmable Thermostats'!BR29+'Comm 95+ Furnace - New'!BR29+'Comm 95+% Furnace - Replace'!BR29+Custom!BR29,0)</f>
        <v>0</v>
      </c>
      <c r="BS29" s="63"/>
      <c r="BT29" s="15">
        <f t="shared" si="22"/>
        <v>101075</v>
      </c>
      <c r="BW29" s="11">
        <f t="shared" si="23"/>
        <v>2030</v>
      </c>
      <c r="BX29" s="63">
        <f t="shared" si="10"/>
        <v>16383</v>
      </c>
      <c r="BY29" s="20">
        <f t="shared" si="24"/>
        <v>6271</v>
      </c>
      <c r="BZ29" s="169">
        <f t="shared" si="25"/>
        <v>10073</v>
      </c>
      <c r="CA29" s="63">
        <f t="shared" si="26"/>
        <v>32727</v>
      </c>
      <c r="CC29" s="63">
        <f t="shared" si="27"/>
        <v>0</v>
      </c>
      <c r="CD29" s="63">
        <f t="shared" si="27"/>
        <v>0</v>
      </c>
      <c r="CE29" s="63">
        <f t="shared" si="28"/>
        <v>0</v>
      </c>
      <c r="CF29" s="63"/>
      <c r="CG29" s="15">
        <f t="shared" si="29"/>
        <v>32727</v>
      </c>
      <c r="DB29" s="4"/>
    </row>
    <row r="30" spans="1:106">
      <c r="E30" s="3" t="s">
        <v>73</v>
      </c>
      <c r="F30" s="196">
        <f>+'Total Program Inputs'!C22</f>
        <v>500</v>
      </c>
      <c r="G30" s="196"/>
      <c r="H30" s="196"/>
      <c r="J30" s="4">
        <f t="shared" si="11"/>
        <v>17</v>
      </c>
      <c r="L30" s="11">
        <f t="shared" si="12"/>
        <v>2031</v>
      </c>
      <c r="M30" s="31">
        <f>+ROUND('Res .95+% Res Furnace - NEW'!M30+'Res .95+% Res Furnace - Replace'!M30+'Res Water Heating .67 EF'!M30+'Programmable Thermostats'!M30+'Comm 95+ Furnace - New'!M30+'Comm 95+% Furnace - Replace'!M30+Custom!M30,0)</f>
        <v>3795</v>
      </c>
      <c r="N30" s="31">
        <f>+ROUND('Res .95+% Res Furnace - NEW'!N30+'Res .95+% Res Furnace - Replace'!N30+'Res Water Heating .67 EF'!N30+'Programmable Thermostats'!N30+'Comm 95+ Furnace - New'!N30+'Comm 95+% Furnace - Replace'!N30+Custom!N30,0)</f>
        <v>31</v>
      </c>
      <c r="O30" s="31">
        <f>+ROUND('Res .95+% Res Furnace - NEW'!O30+'Res .95+% Res Furnace - Replace'!O30+'Res Water Heating .67 EF'!O30+'Programmable Thermostats'!O30+'Comm 95+ Furnace - New'!O30+'Comm 95+% Furnace - Replace'!O30+Custom!O30,0)</f>
        <v>16956</v>
      </c>
      <c r="P30" s="31">
        <f>+ROUND('Res .95+% Res Furnace - NEW'!P30+'Res .95+% Res Furnace - Replace'!P30+'Res Water Heating .67 EF'!P30+'Programmable Thermostats'!P30+'Comm 95+ Furnace - New'!P30+'Comm 95+% Furnace - Replace'!P30+Custom!P30,0)</f>
        <v>0</v>
      </c>
      <c r="Q30" s="31">
        <f>+ROUND('Res .95+% Res Furnace - NEW'!Q30+'Res .95+% Res Furnace - Replace'!Q30+'Res Water Heating .67 EF'!Q30+'Programmable Thermostats'!Q30+'Comm 95+ Furnace - New'!Q30+'Comm 95+% Furnace - Replace'!Q30+Custom!Q30,0)</f>
        <v>0</v>
      </c>
      <c r="R30" s="31">
        <f>+ROUND('Res .95+% Res Furnace - NEW'!R30+'Res .95+% Res Furnace - Replace'!R30+'Res Water Heating .67 EF'!R30+'Programmable Thermostats'!R30+'Comm 95+ Furnace - New'!R30+'Comm 95+% Furnace - Replace'!R30+Custom!R30,0)</f>
        <v>16956</v>
      </c>
      <c r="S30" s="31">
        <f>+ROUND('Res .95+% Res Furnace - NEW'!S30+'Res .95+% Res Furnace - Replace'!S30+'Res Water Heating .67 EF'!S30+'Programmable Thermostats'!S30+'Comm 95+ Furnace - New'!S30+'Comm 95+% Furnace - Replace'!S30+Custom!S30,0)</f>
        <v>38</v>
      </c>
      <c r="T30" s="31">
        <f>+ROUND('Res .95+% Res Furnace - NEW'!T30+'Res .95+% Res Furnace - Replace'!T30+'Res Water Heating .67 EF'!T30+'Programmable Thermostats'!T30+'Comm 95+ Furnace - New'!T30+'Comm 95+% Furnace - Replace'!T30+Custom!T30,0)</f>
        <v>1169</v>
      </c>
      <c r="U30" s="31">
        <f>+ROUND('Res .95+% Res Furnace - NEW'!U30+'Res .95+% Res Furnace - Replace'!U30+'Res Water Heating .67 EF'!U30+'Programmable Thermostats'!U30+'Comm 95+ Furnace - New'!U30+'Comm 95+% Furnace - Replace'!U30+Custom!U30,0)</f>
        <v>6346</v>
      </c>
      <c r="V30" s="31">
        <f t="shared" si="13"/>
        <v>23302</v>
      </c>
      <c r="W30" s="62"/>
      <c r="X30" s="31">
        <f>+ROUND('Res .95+% Res Furnace - NEW'!X30+'Res .95+% Res Furnace - Replace'!X30+'Res Water Heating .67 EF'!X30+'Programmable Thermostats'!X30+'Comm 95+ Furnace - New'!X30+'Comm 95+% Furnace - Replace'!X30+Custom!X30,0)</f>
        <v>7643</v>
      </c>
      <c r="Y30" s="31">
        <f>+ROUND('Res .95+% Res Furnace - NEW'!Y30+'Res .95+% Res Furnace - Replace'!Y30+'Res Water Heating .67 EF'!Y30+'Programmable Thermostats'!Y30+'Comm 95+ Furnace - New'!Y30+'Comm 95+% Furnace - Replace'!Y30+Custom!Y30,0)</f>
        <v>0</v>
      </c>
      <c r="Z30" s="31">
        <f>+ROUND('Res .95+% Res Furnace - NEW'!Z30+'Res .95+% Res Furnace - Replace'!Z30+'Res Water Heating .67 EF'!Z30+'Programmable Thermostats'!Z30+'Comm 95+ Furnace - New'!Z30+'Comm 95+% Furnace - Replace'!Z30+Custom!Z30,0)</f>
        <v>0</v>
      </c>
      <c r="AA30" s="159">
        <f t="shared" si="14"/>
        <v>7643</v>
      </c>
      <c r="AB30" s="15">
        <f t="shared" si="15"/>
        <v>15659</v>
      </c>
      <c r="AE30" s="11">
        <f t="shared" si="16"/>
        <v>2031</v>
      </c>
      <c r="AF30" s="63">
        <f t="shared" si="2"/>
        <v>16956</v>
      </c>
      <c r="AG30" s="27">
        <f t="shared" si="3"/>
        <v>6346</v>
      </c>
      <c r="AH30" s="63">
        <f t="shared" si="30"/>
        <v>23302</v>
      </c>
      <c r="AJ30" s="54">
        <f t="shared" si="17"/>
        <v>0</v>
      </c>
      <c r="AK30" s="54">
        <f t="shared" si="17"/>
        <v>0</v>
      </c>
      <c r="AL30" s="49">
        <f t="shared" si="4"/>
        <v>0</v>
      </c>
      <c r="AN30" s="108">
        <f t="shared" si="5"/>
        <v>23302</v>
      </c>
      <c r="AQ30" s="11">
        <f t="shared" si="18"/>
        <v>2031</v>
      </c>
      <c r="AR30" s="66">
        <f t="shared" si="6"/>
        <v>16956</v>
      </c>
      <c r="AS30" s="63">
        <f t="shared" si="7"/>
        <v>6346</v>
      </c>
      <c r="AT30" s="15">
        <f t="shared" si="7"/>
        <v>23302</v>
      </c>
      <c r="AU30" s="31">
        <f>+ROUND('Res .95+% Res Furnace - NEW'!AT30+'Res .95+% Res Furnace - Replace'!AU30+'Res Water Heating .67 EF'!AU30+'Programmable Thermostats'!AU30+'Comm 95+ Furnace - New'!AU30+'Comm 95+% Furnace - Replace'!AU30+Custom!AU30,0)</f>
        <v>10324</v>
      </c>
      <c r="AV30" s="31">
        <f>+ROUND('Res .95+% Res Furnace - NEW'!AU30+'Res .95+% Res Furnace - Replace'!AV30+'Res Water Heating .67 EF'!AV30+'Programmable Thermostats'!AV30+'Comm 95+ Furnace - New'!AV30+'Comm 95+% Furnace - Replace'!AV30+Custom!AV30,0)</f>
        <v>4</v>
      </c>
      <c r="AW30" s="31">
        <f>+ROUND('Res .95+% Res Furnace - NEW'!AV30+'Res .95+% Res Furnace - Replace'!AW30+'Res Water Heating .67 EF'!AW30+'Programmable Thermostats'!AW30+'Comm 95+ Furnace - New'!AW30+'Comm 95+% Furnace - Replace'!AW30+Custom!AW30,0)</f>
        <v>1954</v>
      </c>
      <c r="AX30" s="134"/>
      <c r="AY30" s="135"/>
      <c r="AZ30" s="66">
        <f t="shared" si="19"/>
        <v>35580</v>
      </c>
      <c r="BA30" s="25"/>
      <c r="BB30" s="31">
        <f>+ROUND('Res .95+% Res Furnace - NEW'!BA30+'Res .95+% Res Furnace - Replace'!BB30+'Res Water Heating .67 EF'!BB30+'Programmable Thermostats'!BB30+'Comm 95+ Furnace - New'!BB30+'Comm 95+% Furnace - Replace'!BB30+Custom!BB30,0)</f>
        <v>0</v>
      </c>
      <c r="BC30" s="31">
        <f>+ROUND('Res .95+% Res Furnace - NEW'!BB30+'Res .95+% Res Furnace - Replace'!BC30+'Res Water Heating .67 EF'!BC30+'Programmable Thermostats'!BC30+'Comm 95+ Furnace - New'!BC30+'Comm 95+% Furnace - Replace'!BC30+Custom!BC30,0)</f>
        <v>0</v>
      </c>
      <c r="BD30" s="64">
        <f t="shared" si="20"/>
        <v>0</v>
      </c>
      <c r="BE30" s="66">
        <f t="shared" si="8"/>
        <v>35580</v>
      </c>
      <c r="BH30" s="11">
        <f t="shared" si="21"/>
        <v>2031</v>
      </c>
      <c r="BI30" s="31">
        <f>+ROUND('Res .95+% Res Furnace - NEW'!BH30+'Res .95+% Res Furnace - Replace'!BI30+'Res Water Heating .67 EF'!BI30+'Programmable Thermostats'!BI30+'Comm 95+ Furnace - New'!BI30+'Comm 95+% Furnace - Replace'!BI30+Custom!BI30,0)</f>
        <v>0</v>
      </c>
      <c r="BJ30" s="31">
        <f>+ROUND('Res .95+% Res Furnace - NEW'!BI30+'Res .95+% Res Furnace - Replace'!BJ30+'Res Water Heating .67 EF'!BJ30+'Programmable Thermostats'!BJ30+'Comm 95+ Furnace - New'!BJ30+'Comm 95+% Furnace - Replace'!BJ30+Custom!BJ30,0)</f>
        <v>3795</v>
      </c>
      <c r="BK30" s="31">
        <f>+ROUND('Res .95+% Res Furnace - NEW'!BJ30+'Res .95+% Res Furnace - Replace'!BK30+'Res Water Heating .67 EF'!BK30+'Programmable Thermostats'!BK30+'Comm 95+ Furnace - New'!BK30+'Comm 95+% Furnace - Replace'!BK30+Custom!BK30,0)</f>
        <v>73</v>
      </c>
      <c r="BL30" s="31">
        <f>+ROUND('Res .95+% Res Furnace - NEW'!BK30+'Res .95+% Res Furnace - Replace'!BL30+'Res Water Heating .67 EF'!BL30+'Programmable Thermostats'!BL30+'Comm 95+ Furnace - New'!BL30+'Comm 95+% Furnace - Replace'!BL30+Custom!BL30,0)</f>
        <v>40556</v>
      </c>
      <c r="BM30" s="31">
        <f>+ROUND('Res .95+% Res Furnace - NEW'!BL30+'Res .95+% Res Furnace - Replace'!BM30+'Res Water Heating .67 EF'!BM30+'Programmable Thermostats'!BM30+'Comm 95+ Furnace - New'!BM30+'Comm 95+% Furnace - Replace'!BM30+Custom!BM30,0)</f>
        <v>2</v>
      </c>
      <c r="BN30" s="31">
        <f>+ROUND('Res .95+% Res Furnace - NEW'!BM30+'Res .95+% Res Furnace - Replace'!BN30+'Res Water Heating .67 EF'!BN30+'Programmable Thermostats'!BN30+'Comm 95+ Furnace - New'!BN30+'Comm 95+% Furnace - Replace'!BN30+Custom!BN30,0)</f>
        <v>64154</v>
      </c>
      <c r="BO30" s="124"/>
      <c r="BP30" s="63">
        <f t="shared" si="9"/>
        <v>104710</v>
      </c>
      <c r="BR30" s="31">
        <f>+ROUND('Res .95+% Res Furnace - NEW'!BQ30+'Res .95+% Res Furnace - Replace'!BR30+'Res Water Heating .67 EF'!BR30+'Programmable Thermostats'!BR30+'Comm 95+ Furnace - New'!BR30+'Comm 95+% Furnace - Replace'!BR30+Custom!BR30,0)</f>
        <v>0</v>
      </c>
      <c r="BS30" s="63"/>
      <c r="BT30" s="15">
        <f t="shared" si="22"/>
        <v>104710</v>
      </c>
      <c r="BW30" s="11">
        <f t="shared" si="23"/>
        <v>2031</v>
      </c>
      <c r="BX30" s="63">
        <f t="shared" si="10"/>
        <v>16956</v>
      </c>
      <c r="BY30" s="20">
        <f t="shared" si="24"/>
        <v>6346</v>
      </c>
      <c r="BZ30" s="169">
        <f t="shared" si="25"/>
        <v>10324</v>
      </c>
      <c r="CA30" s="63">
        <f t="shared" si="26"/>
        <v>33626</v>
      </c>
      <c r="CC30" s="63">
        <f t="shared" si="27"/>
        <v>0</v>
      </c>
      <c r="CD30" s="63">
        <f t="shared" si="27"/>
        <v>0</v>
      </c>
      <c r="CE30" s="63">
        <f t="shared" si="28"/>
        <v>0</v>
      </c>
      <c r="CF30" s="63"/>
      <c r="CG30" s="15">
        <f t="shared" si="29"/>
        <v>33626</v>
      </c>
      <c r="DB30" s="4">
        <f>$J18</f>
        <v>5</v>
      </c>
    </row>
    <row r="31" spans="1:106">
      <c r="A31" s="2" t="s">
        <v>74</v>
      </c>
      <c r="C31" s="17"/>
      <c r="F31" s="27"/>
      <c r="G31" s="27"/>
      <c r="H31" s="27"/>
      <c r="J31" s="4">
        <f t="shared" si="11"/>
        <v>18</v>
      </c>
      <c r="L31" s="11">
        <f t="shared" si="12"/>
        <v>2032</v>
      </c>
      <c r="M31" s="31">
        <f>+ROUND('Res .95+% Res Furnace - NEW'!M31+'Res .95+% Res Furnace - Replace'!M31+'Res Water Heating .67 EF'!M31+'Programmable Thermostats'!M31+'Comm 95+ Furnace - New'!M31+'Comm 95+% Furnace - Replace'!M31+Custom!M31,0)</f>
        <v>3795</v>
      </c>
      <c r="N31" s="31">
        <f>+ROUND('Res .95+% Res Furnace - NEW'!N31+'Res .95+% Res Furnace - Replace'!N31+'Res Water Heating .67 EF'!N31+'Programmable Thermostats'!N31+'Comm 95+ Furnace - New'!N31+'Comm 95+% Furnace - Replace'!N31+Custom!N31,0)</f>
        <v>32</v>
      </c>
      <c r="O31" s="31">
        <f>+ROUND('Res .95+% Res Furnace - NEW'!O31+'Res .95+% Res Furnace - Replace'!O31+'Res Water Heating .67 EF'!O31+'Programmable Thermostats'!O31+'Comm 95+ Furnace - New'!O31+'Comm 95+% Furnace - Replace'!O31+Custom!O31,0)</f>
        <v>17552</v>
      </c>
      <c r="P31" s="31">
        <f>+ROUND('Res .95+% Res Furnace - NEW'!P31+'Res .95+% Res Furnace - Replace'!P31+'Res Water Heating .67 EF'!P31+'Programmable Thermostats'!P31+'Comm 95+ Furnace - New'!P31+'Comm 95+% Furnace - Replace'!P31+Custom!P31,0)</f>
        <v>0</v>
      </c>
      <c r="Q31" s="31">
        <f>+ROUND('Res .95+% Res Furnace - NEW'!Q31+'Res .95+% Res Furnace - Replace'!Q31+'Res Water Heating .67 EF'!Q31+'Programmable Thermostats'!Q31+'Comm 95+ Furnace - New'!Q31+'Comm 95+% Furnace - Replace'!Q31+Custom!Q31,0)</f>
        <v>0</v>
      </c>
      <c r="R31" s="31">
        <f>+ROUND('Res .95+% Res Furnace - NEW'!R31+'Res .95+% Res Furnace - Replace'!R31+'Res Water Heating .67 EF'!R31+'Programmable Thermostats'!R31+'Comm 95+ Furnace - New'!R31+'Comm 95+% Furnace - Replace'!R31+Custom!R31,0)</f>
        <v>17552</v>
      </c>
      <c r="S31" s="31">
        <f>+ROUND('Res .95+% Res Furnace - NEW'!S31+'Res .95+% Res Furnace - Replace'!S31+'Res Water Heating .67 EF'!S31+'Programmable Thermostats'!S31+'Comm 95+ Furnace - New'!S31+'Comm 95+% Furnace - Replace'!S31+Custom!S31,0)</f>
        <v>38</v>
      </c>
      <c r="T31" s="31">
        <f>+ROUND('Res .95+% Res Furnace - NEW'!T31+'Res .95+% Res Furnace - Replace'!T31+'Res Water Heating .67 EF'!T31+'Programmable Thermostats'!T31+'Comm 95+ Furnace - New'!T31+'Comm 95+% Furnace - Replace'!T31+Custom!T31,0)</f>
        <v>1176</v>
      </c>
      <c r="U31" s="31">
        <f>+ROUND('Res .95+% Res Furnace - NEW'!U31+'Res .95+% Res Furnace - Replace'!U31+'Res Water Heating .67 EF'!U31+'Programmable Thermostats'!U31+'Comm 95+ Furnace - New'!U31+'Comm 95+% Furnace - Replace'!U31+Custom!U31,0)</f>
        <v>6384</v>
      </c>
      <c r="V31" s="31">
        <f t="shared" si="13"/>
        <v>23936</v>
      </c>
      <c r="W31" s="62"/>
      <c r="X31" s="31">
        <f>+ROUND('Res .95+% Res Furnace - NEW'!X31+'Res .95+% Res Furnace - Replace'!X31+'Res Water Heating .67 EF'!X31+'Programmable Thermostats'!X31+'Comm 95+ Furnace - New'!X31+'Comm 95+% Furnace - Replace'!X31+Custom!X31,0)</f>
        <v>7910</v>
      </c>
      <c r="Y31" s="31">
        <f>+ROUND('Res .95+% Res Furnace - NEW'!Y31+'Res .95+% Res Furnace - Replace'!Y31+'Res Water Heating .67 EF'!Y31+'Programmable Thermostats'!Y31+'Comm 95+ Furnace - New'!Y31+'Comm 95+% Furnace - Replace'!Y31+Custom!Y31,0)</f>
        <v>0</v>
      </c>
      <c r="Z31" s="31">
        <f>+ROUND('Res .95+% Res Furnace - NEW'!Z31+'Res .95+% Res Furnace - Replace'!Z31+'Res Water Heating .67 EF'!Z31+'Programmable Thermostats'!Z31+'Comm 95+ Furnace - New'!Z31+'Comm 95+% Furnace - Replace'!Z31+Custom!Z31,0)</f>
        <v>0</v>
      </c>
      <c r="AA31" s="159">
        <f t="shared" si="14"/>
        <v>7910</v>
      </c>
      <c r="AB31" s="15">
        <f t="shared" si="15"/>
        <v>16026</v>
      </c>
      <c r="AE31" s="11">
        <f t="shared" si="16"/>
        <v>2032</v>
      </c>
      <c r="AF31" s="63">
        <f t="shared" si="2"/>
        <v>17552</v>
      </c>
      <c r="AG31" s="27">
        <f t="shared" si="3"/>
        <v>6384</v>
      </c>
      <c r="AH31" s="63">
        <f t="shared" si="30"/>
        <v>23936</v>
      </c>
      <c r="AJ31" s="54">
        <f t="shared" si="17"/>
        <v>0</v>
      </c>
      <c r="AK31" s="54">
        <f t="shared" si="17"/>
        <v>0</v>
      </c>
      <c r="AL31" s="49">
        <f t="shared" si="4"/>
        <v>0</v>
      </c>
      <c r="AN31" s="108">
        <f t="shared" si="5"/>
        <v>23936</v>
      </c>
      <c r="AQ31" s="11">
        <f t="shared" si="18"/>
        <v>2032</v>
      </c>
      <c r="AR31" s="66">
        <f t="shared" si="6"/>
        <v>17552</v>
      </c>
      <c r="AS31" s="63">
        <f t="shared" si="7"/>
        <v>6384</v>
      </c>
      <c r="AT31" s="15">
        <f t="shared" si="7"/>
        <v>23936</v>
      </c>
      <c r="AU31" s="31">
        <f>+ROUND('Res .95+% Res Furnace - NEW'!AT31+'Res .95+% Res Furnace - Replace'!AU31+'Res Water Heating .67 EF'!AU31+'Programmable Thermostats'!AU31+'Comm 95+ Furnace - New'!AU31+'Comm 95+% Furnace - Replace'!AU31+Custom!AU31,0)</f>
        <v>10828</v>
      </c>
      <c r="AV31" s="31">
        <f>+ROUND('Res .95+% Res Furnace - NEW'!AU31+'Res .95+% Res Furnace - Replace'!AV31+'Res Water Heating .67 EF'!AV31+'Programmable Thermostats'!AV31+'Comm 95+ Furnace - New'!AV31+'Comm 95+% Furnace - Replace'!AV31+Custom!AV31,0)</f>
        <v>4</v>
      </c>
      <c r="AW31" s="31">
        <f>+ROUND('Res .95+% Res Furnace - NEW'!AV31+'Res .95+% Res Furnace - Replace'!AW31+'Res Water Heating .67 EF'!AW31+'Programmable Thermostats'!AW31+'Comm 95+ Furnace - New'!AW31+'Comm 95+% Furnace - Replace'!AW31+Custom!AW31,0)</f>
        <v>2000</v>
      </c>
      <c r="AX31" s="134"/>
      <c r="AY31" s="135"/>
      <c r="AZ31" s="66">
        <f t="shared" si="19"/>
        <v>36764</v>
      </c>
      <c r="BA31" s="25"/>
      <c r="BB31" s="31">
        <f>+ROUND('Res .95+% Res Furnace - NEW'!BA31+'Res .95+% Res Furnace - Replace'!BB31+'Res Water Heating .67 EF'!BB31+'Programmable Thermostats'!BB31+'Comm 95+ Furnace - New'!BB31+'Comm 95+% Furnace - Replace'!BB31+Custom!BB31,0)</f>
        <v>0</v>
      </c>
      <c r="BC31" s="31">
        <f>+ROUND('Res .95+% Res Furnace - NEW'!BB31+'Res .95+% Res Furnace - Replace'!BC31+'Res Water Heating .67 EF'!BC31+'Programmable Thermostats'!BC31+'Comm 95+ Furnace - New'!BC31+'Comm 95+% Furnace - Replace'!BC31+Custom!BC31,0)</f>
        <v>0</v>
      </c>
      <c r="BD31" s="64">
        <f t="shared" si="20"/>
        <v>0</v>
      </c>
      <c r="BE31" s="66">
        <f t="shared" si="8"/>
        <v>36764</v>
      </c>
      <c r="BH31" s="11">
        <f t="shared" si="21"/>
        <v>2032</v>
      </c>
      <c r="BI31" s="31">
        <f>+ROUND('Res .95+% Res Furnace - NEW'!BH31+'Res .95+% Res Furnace - Replace'!BI31+'Res Water Heating .67 EF'!BI31+'Programmable Thermostats'!BI31+'Comm 95+ Furnace - New'!BI31+'Comm 95+% Furnace - Replace'!BI31+Custom!BI31,0)</f>
        <v>0</v>
      </c>
      <c r="BJ31" s="31">
        <f>+ROUND('Res .95+% Res Furnace - NEW'!BI31+'Res .95+% Res Furnace - Replace'!BJ31+'Res Water Heating .67 EF'!BJ31+'Programmable Thermostats'!BJ31+'Comm 95+ Furnace - New'!BJ31+'Comm 95+% Furnace - Replace'!BJ31+Custom!BJ31,0)</f>
        <v>3795</v>
      </c>
      <c r="BK31" s="31">
        <f>+ROUND('Res .95+% Res Furnace - NEW'!BJ31+'Res .95+% Res Furnace - Replace'!BK31+'Res Water Heating .67 EF'!BK31+'Programmable Thermostats'!BK31+'Comm 95+ Furnace - New'!BK31+'Comm 95+% Furnace - Replace'!BK31+Custom!BK31,0)</f>
        <v>75</v>
      </c>
      <c r="BL31" s="31">
        <f>+ROUND('Res .95+% Res Furnace - NEW'!BK31+'Res .95+% Res Furnace - Replace'!BL31+'Res Water Heating .67 EF'!BL31+'Programmable Thermostats'!BL31+'Comm 95+ Furnace - New'!BL31+'Comm 95+% Furnace - Replace'!BL31+Custom!BL31,0)</f>
        <v>41975</v>
      </c>
      <c r="BM31" s="31">
        <f>+ROUND('Res .95+% Res Furnace - NEW'!BL31+'Res .95+% Res Furnace - Replace'!BM31+'Res Water Heating .67 EF'!BM31+'Programmable Thermostats'!BM31+'Comm 95+ Furnace - New'!BM31+'Comm 95+% Furnace - Replace'!BM31+Custom!BM31,0)</f>
        <v>2</v>
      </c>
      <c r="BN31" s="31">
        <f>+ROUND('Res .95+% Res Furnace - NEW'!BM31+'Res .95+% Res Furnace - Replace'!BN31+'Res Water Heating .67 EF'!BN31+'Programmable Thermostats'!BN31+'Comm 95+ Furnace - New'!BN31+'Comm 95+% Furnace - Replace'!BN31+Custom!BN31,0)</f>
        <v>66420</v>
      </c>
      <c r="BO31" s="124"/>
      <c r="BP31" s="63">
        <f t="shared" si="9"/>
        <v>108395</v>
      </c>
      <c r="BR31" s="31">
        <f>+ROUND('Res .95+% Res Furnace - NEW'!BQ31+'Res .95+% Res Furnace - Replace'!BR31+'Res Water Heating .67 EF'!BR31+'Programmable Thermostats'!BR31+'Comm 95+ Furnace - New'!BR31+'Comm 95+% Furnace - Replace'!BR31+Custom!BR31,0)</f>
        <v>0</v>
      </c>
      <c r="BS31" s="63"/>
      <c r="BT31" s="15">
        <f t="shared" si="22"/>
        <v>108395</v>
      </c>
      <c r="BW31" s="11">
        <f t="shared" si="23"/>
        <v>2032</v>
      </c>
      <c r="BX31" s="63">
        <f t="shared" si="10"/>
        <v>17552</v>
      </c>
      <c r="BY31" s="20">
        <f t="shared" si="24"/>
        <v>6384</v>
      </c>
      <c r="BZ31" s="169">
        <f t="shared" si="25"/>
        <v>10828</v>
      </c>
      <c r="CA31" s="63">
        <f t="shared" si="26"/>
        <v>34764</v>
      </c>
      <c r="CC31" s="63">
        <f t="shared" si="27"/>
        <v>0</v>
      </c>
      <c r="CD31" s="63">
        <f t="shared" si="27"/>
        <v>0</v>
      </c>
      <c r="CE31" s="63">
        <f t="shared" si="28"/>
        <v>0</v>
      </c>
      <c r="CF31" s="63"/>
      <c r="CG31" s="15">
        <f t="shared" si="29"/>
        <v>34764</v>
      </c>
      <c r="DB31" s="4">
        <f>$J19</f>
        <v>6</v>
      </c>
    </row>
    <row r="32" spans="1:106">
      <c r="E32" s="65" t="s">
        <v>103</v>
      </c>
      <c r="F32" s="325">
        <f>+'Total Program Inputs'!E22</f>
        <v>4254</v>
      </c>
      <c r="G32" s="194"/>
      <c r="H32" s="194"/>
      <c r="J32" s="4">
        <f t="shared" si="11"/>
        <v>19</v>
      </c>
      <c r="L32" s="11">
        <f t="shared" si="12"/>
        <v>2033</v>
      </c>
      <c r="M32" s="31">
        <f>+ROUND('Res .95+% Res Furnace - NEW'!M32+'Res .95+% Res Furnace - Replace'!M32+'Res Water Heating .67 EF'!M32+'Programmable Thermostats'!M32+'Comm 95+ Furnace - New'!M32+'Comm 95+% Furnace - Replace'!M32+Custom!M32,0)</f>
        <v>3795</v>
      </c>
      <c r="N32" s="31">
        <f>+ROUND('Res .95+% Res Furnace - NEW'!N32+'Res .95+% Res Furnace - Replace'!N32+'Res Water Heating .67 EF'!N32+'Programmable Thermostats'!N32+'Comm 95+ Furnace - New'!N32+'Comm 95+% Furnace - Replace'!N32+Custom!N32,0)</f>
        <v>34</v>
      </c>
      <c r="O32" s="31">
        <f>+ROUND('Res .95+% Res Furnace - NEW'!O32+'Res .95+% Res Furnace - Replace'!O32+'Res Water Heating .67 EF'!O32+'Programmable Thermostats'!O32+'Comm 95+ Furnace - New'!O32+'Comm 95+% Furnace - Replace'!O32+Custom!O32,0)</f>
        <v>18167</v>
      </c>
      <c r="P32" s="31">
        <f>+ROUND('Res .95+% Res Furnace - NEW'!P32+'Res .95+% Res Furnace - Replace'!P32+'Res Water Heating .67 EF'!P32+'Programmable Thermostats'!P32+'Comm 95+ Furnace - New'!P32+'Comm 95+% Furnace - Replace'!P32+Custom!P32,0)</f>
        <v>0</v>
      </c>
      <c r="Q32" s="31">
        <f>+ROUND('Res .95+% Res Furnace - NEW'!Q32+'Res .95+% Res Furnace - Replace'!Q32+'Res Water Heating .67 EF'!Q32+'Programmable Thermostats'!Q32+'Comm 95+ Furnace - New'!Q32+'Comm 95+% Furnace - Replace'!Q32+Custom!Q32,0)</f>
        <v>0</v>
      </c>
      <c r="R32" s="31">
        <f>+ROUND('Res .95+% Res Furnace - NEW'!R32+'Res .95+% Res Furnace - Replace'!R32+'Res Water Heating .67 EF'!R32+'Programmable Thermostats'!R32+'Comm 95+ Furnace - New'!R32+'Comm 95+% Furnace - Replace'!R32+Custom!R32,0)</f>
        <v>18167</v>
      </c>
      <c r="S32" s="31">
        <f>+ROUND('Res .95+% Res Furnace - NEW'!S32+'Res .95+% Res Furnace - Replace'!S32+'Res Water Heating .67 EF'!S32+'Programmable Thermostats'!S32+'Comm 95+ Furnace - New'!S32+'Comm 95+% Furnace - Replace'!S32+Custom!S32,0)</f>
        <v>38</v>
      </c>
      <c r="T32" s="31">
        <f>+ROUND('Res .95+% Res Furnace - NEW'!T32+'Res .95+% Res Furnace - Replace'!T32+'Res Water Heating .67 EF'!T32+'Programmable Thermostats'!T32+'Comm 95+ Furnace - New'!T32+'Comm 95+% Furnace - Replace'!T32+Custom!T32,0)</f>
        <v>1190</v>
      </c>
      <c r="U32" s="31">
        <f>+ROUND('Res .95+% Res Furnace - NEW'!U32+'Res .95+% Res Furnace - Replace'!U32+'Res Water Heating .67 EF'!U32+'Programmable Thermostats'!U32+'Comm 95+ Furnace - New'!U32+'Comm 95+% Furnace - Replace'!U32+Custom!U32,0)</f>
        <v>6460</v>
      </c>
      <c r="V32" s="31">
        <f t="shared" si="13"/>
        <v>24627</v>
      </c>
      <c r="W32" s="62"/>
      <c r="X32" s="31">
        <f>+ROUND('Res .95+% Res Furnace - NEW'!X32+'Res .95+% Res Furnace - Replace'!X32+'Res Water Heating .67 EF'!X32+'Programmable Thermostats'!X32+'Comm 95+ Furnace - New'!X32+'Comm 95+% Furnace - Replace'!X32+Custom!X32,0)</f>
        <v>8188</v>
      </c>
      <c r="Y32" s="31">
        <f>+ROUND('Res .95+% Res Furnace - NEW'!Y32+'Res .95+% Res Furnace - Replace'!Y32+'Res Water Heating .67 EF'!Y32+'Programmable Thermostats'!Y32+'Comm 95+ Furnace - New'!Y32+'Comm 95+% Furnace - Replace'!Y32+Custom!Y32,0)</f>
        <v>0</v>
      </c>
      <c r="Z32" s="31">
        <f>+ROUND('Res .95+% Res Furnace - NEW'!Z32+'Res .95+% Res Furnace - Replace'!Z32+'Res Water Heating .67 EF'!Z32+'Programmable Thermostats'!Z32+'Comm 95+ Furnace - New'!Z32+'Comm 95+% Furnace - Replace'!Z32+Custom!Z32,0)</f>
        <v>0</v>
      </c>
      <c r="AA32" s="159">
        <f t="shared" si="14"/>
        <v>8188</v>
      </c>
      <c r="AB32" s="15">
        <f t="shared" si="15"/>
        <v>16439</v>
      </c>
      <c r="AE32" s="11">
        <f t="shared" si="16"/>
        <v>2033</v>
      </c>
      <c r="AF32" s="63">
        <f t="shared" si="2"/>
        <v>18167</v>
      </c>
      <c r="AG32" s="27">
        <f t="shared" si="3"/>
        <v>6460</v>
      </c>
      <c r="AH32" s="63">
        <f t="shared" si="30"/>
        <v>24627</v>
      </c>
      <c r="AJ32" s="54">
        <f t="shared" si="17"/>
        <v>0</v>
      </c>
      <c r="AK32" s="54">
        <f t="shared" si="17"/>
        <v>0</v>
      </c>
      <c r="AL32" s="49">
        <f t="shared" si="4"/>
        <v>0</v>
      </c>
      <c r="AN32" s="108">
        <f t="shared" si="5"/>
        <v>24627</v>
      </c>
      <c r="AQ32" s="11">
        <f t="shared" si="18"/>
        <v>2033</v>
      </c>
      <c r="AR32" s="66">
        <f t="shared" si="6"/>
        <v>18167</v>
      </c>
      <c r="AS32" s="63">
        <f t="shared" si="7"/>
        <v>6460</v>
      </c>
      <c r="AT32" s="15">
        <f t="shared" si="7"/>
        <v>24627</v>
      </c>
      <c r="AU32" s="31">
        <f>+ROUND('Res .95+% Res Furnace - NEW'!AT32+'Res .95+% Res Furnace - Replace'!AU32+'Res Water Heating .67 EF'!AU32+'Programmable Thermostats'!AU32+'Comm 95+ Furnace - New'!AU32+'Comm 95+% Furnace - Replace'!AU32+Custom!AU32,0)</f>
        <v>11079</v>
      </c>
      <c r="AV32" s="31">
        <f>+ROUND('Res .95+% Res Furnace - NEW'!AU32+'Res .95+% Res Furnace - Replace'!AV32+'Res Water Heating .67 EF'!AV32+'Programmable Thermostats'!AV32+'Comm 95+ Furnace - New'!AV32+'Comm 95+% Furnace - Replace'!AV32+Custom!AV32,0)</f>
        <v>4</v>
      </c>
      <c r="AW32" s="31">
        <f>+ROUND('Res .95+% Res Furnace - NEW'!AV32+'Res .95+% Res Furnace - Replace'!AW32+'Res Water Heating .67 EF'!AW32+'Programmable Thermostats'!AW32+'Comm 95+ Furnace - New'!AW32+'Comm 95+% Furnace - Replace'!AW32+Custom!AW32,0)</f>
        <v>2045</v>
      </c>
      <c r="AX32" s="134"/>
      <c r="AY32" s="135"/>
      <c r="AZ32" s="66">
        <f t="shared" si="19"/>
        <v>37751</v>
      </c>
      <c r="BA32" s="25"/>
      <c r="BB32" s="31">
        <f>+ROUND('Res .95+% Res Furnace - NEW'!BA32+'Res .95+% Res Furnace - Replace'!BB32+'Res Water Heating .67 EF'!BB32+'Programmable Thermostats'!BB32+'Comm 95+ Furnace - New'!BB32+'Comm 95+% Furnace - Replace'!BB32+Custom!BB32,0)</f>
        <v>0</v>
      </c>
      <c r="BC32" s="31">
        <f>+ROUND('Res .95+% Res Furnace - NEW'!BB32+'Res .95+% Res Furnace - Replace'!BC32+'Res Water Heating .67 EF'!BC32+'Programmable Thermostats'!BC32+'Comm 95+ Furnace - New'!BC32+'Comm 95+% Furnace - Replace'!BC32+Custom!BC32,0)</f>
        <v>0</v>
      </c>
      <c r="BD32" s="64">
        <f t="shared" si="20"/>
        <v>0</v>
      </c>
      <c r="BE32" s="66">
        <f t="shared" si="8"/>
        <v>37751</v>
      </c>
      <c r="BH32" s="11">
        <f t="shared" si="21"/>
        <v>2033</v>
      </c>
      <c r="BI32" s="31">
        <f>+ROUND('Res .95+% Res Furnace - NEW'!BH32+'Res .95+% Res Furnace - Replace'!BI32+'Res Water Heating .67 EF'!BI32+'Programmable Thermostats'!BI32+'Comm 95+ Furnace - New'!BI32+'Comm 95+% Furnace - Replace'!BI32+Custom!BI32,0)</f>
        <v>0</v>
      </c>
      <c r="BJ32" s="31">
        <f>+ROUND('Res .95+% Res Furnace - NEW'!BI32+'Res .95+% Res Furnace - Replace'!BJ32+'Res Water Heating .67 EF'!BJ32+'Programmable Thermostats'!BJ32+'Comm 95+ Furnace - New'!BJ32+'Comm 95+% Furnace - Replace'!BJ32+Custom!BJ32,0)</f>
        <v>3795</v>
      </c>
      <c r="BK32" s="31">
        <f>+ROUND('Res .95+% Res Furnace - NEW'!BJ32+'Res .95+% Res Furnace - Replace'!BK32+'Res Water Heating .67 EF'!BK32+'Programmable Thermostats'!BK32+'Comm 95+ Furnace - New'!BK32+'Comm 95+% Furnace - Replace'!BK32+Custom!BK32,0)</f>
        <v>78</v>
      </c>
      <c r="BL32" s="31">
        <f>+ROUND('Res .95+% Res Furnace - NEW'!BK32+'Res .95+% Res Furnace - Replace'!BL32+'Res Water Heating .67 EF'!BL32+'Programmable Thermostats'!BL32+'Comm 95+ Furnace - New'!BL32+'Comm 95+% Furnace - Replace'!BL32+Custom!BL32,0)</f>
        <v>43443</v>
      </c>
      <c r="BM32" s="31">
        <f>+ROUND('Res .95+% Res Furnace - NEW'!BL32+'Res .95+% Res Furnace - Replace'!BM32+'Res Water Heating .67 EF'!BM32+'Programmable Thermostats'!BM32+'Comm 95+ Furnace - New'!BM32+'Comm 95+% Furnace - Replace'!BM32+Custom!BM32,0)</f>
        <v>2</v>
      </c>
      <c r="BN32" s="31">
        <f>+ROUND('Res .95+% Res Furnace - NEW'!BM32+'Res .95+% Res Furnace - Replace'!BN32+'Res Water Heating .67 EF'!BN32+'Programmable Thermostats'!BN32+'Comm 95+ Furnace - New'!BN32+'Comm 95+% Furnace - Replace'!BN32+Custom!BN32,0)</f>
        <v>68687</v>
      </c>
      <c r="BO32" s="124"/>
      <c r="BP32" s="63">
        <f t="shared" si="9"/>
        <v>112130</v>
      </c>
      <c r="BR32" s="31">
        <f>+ROUND('Res .95+% Res Furnace - NEW'!BQ32+'Res .95+% Res Furnace - Replace'!BR32+'Res Water Heating .67 EF'!BR32+'Programmable Thermostats'!BR32+'Comm 95+ Furnace - New'!BR32+'Comm 95+% Furnace - Replace'!BR32+Custom!BR32,0)</f>
        <v>0</v>
      </c>
      <c r="BS32" s="63"/>
      <c r="BT32" s="15">
        <f t="shared" si="22"/>
        <v>112130</v>
      </c>
      <c r="BW32" s="11">
        <f t="shared" si="23"/>
        <v>2033</v>
      </c>
      <c r="BX32" s="63">
        <f t="shared" si="10"/>
        <v>18167</v>
      </c>
      <c r="BY32" s="20">
        <f t="shared" si="24"/>
        <v>6460</v>
      </c>
      <c r="BZ32" s="169">
        <f t="shared" si="25"/>
        <v>11079</v>
      </c>
      <c r="CA32" s="63">
        <f t="shared" si="26"/>
        <v>35706</v>
      </c>
      <c r="CC32" s="63">
        <f t="shared" si="27"/>
        <v>0</v>
      </c>
      <c r="CD32" s="63">
        <f t="shared" si="27"/>
        <v>0</v>
      </c>
      <c r="CE32" s="63">
        <f t="shared" si="28"/>
        <v>0</v>
      </c>
      <c r="CF32" s="63"/>
      <c r="CG32" s="15">
        <f t="shared" si="29"/>
        <v>35706</v>
      </c>
      <c r="DB32" s="4">
        <f>$J20</f>
        <v>7</v>
      </c>
    </row>
    <row r="33" spans="1:106">
      <c r="A33" s="2" t="s">
        <v>75</v>
      </c>
      <c r="C33" s="14"/>
      <c r="F33" s="27"/>
      <c r="G33" s="27"/>
      <c r="H33" s="27"/>
      <c r="J33" s="4">
        <f t="shared" si="11"/>
        <v>20</v>
      </c>
      <c r="L33" s="11">
        <f t="shared" si="12"/>
        <v>2034</v>
      </c>
      <c r="M33" s="31">
        <f>+ROUND('Res .95+% Res Furnace - NEW'!M33+'Res .95+% Res Furnace - Replace'!M33+'Res Water Heating .67 EF'!M33+'Programmable Thermostats'!M33+'Comm 95+ Furnace - New'!M33+'Comm 95+% Furnace - Replace'!M33+Custom!M33,0)</f>
        <v>3795</v>
      </c>
      <c r="N33" s="31">
        <f>+ROUND('Res .95+% Res Furnace - NEW'!N33+'Res .95+% Res Furnace - Replace'!N33+'Res Water Heating .67 EF'!N33+'Programmable Thermostats'!N33+'Comm 95+ Furnace - New'!N33+'Comm 95+% Furnace - Replace'!N33+Custom!N33,0)</f>
        <v>35</v>
      </c>
      <c r="O33" s="31">
        <f>+ROUND('Res .95+% Res Furnace - NEW'!O33+'Res .95+% Res Furnace - Replace'!O33+'Res Water Heating .67 EF'!O33+'Programmable Thermostats'!O33+'Comm 95+ Furnace - New'!O33+'Comm 95+% Furnace - Replace'!O33+Custom!O33,0)</f>
        <v>18800</v>
      </c>
      <c r="P33" s="31">
        <f>+ROUND('Res .95+% Res Furnace - NEW'!P33+'Res .95+% Res Furnace - Replace'!P33+'Res Water Heating .67 EF'!P33+'Programmable Thermostats'!P33+'Comm 95+ Furnace - New'!P33+'Comm 95+% Furnace - Replace'!P33+Custom!P33,0)</f>
        <v>0</v>
      </c>
      <c r="Q33" s="31">
        <f>+ROUND('Res .95+% Res Furnace - NEW'!Q33+'Res .95+% Res Furnace - Replace'!Q33+'Res Water Heating .67 EF'!Q33+'Programmable Thermostats'!Q33+'Comm 95+ Furnace - New'!Q33+'Comm 95+% Furnace - Replace'!Q33+Custom!Q33,0)</f>
        <v>0</v>
      </c>
      <c r="R33" s="31">
        <f>+ROUND('Res .95+% Res Furnace - NEW'!R33+'Res .95+% Res Furnace - Replace'!R33+'Res Water Heating .67 EF'!R33+'Programmable Thermostats'!R33+'Comm 95+ Furnace - New'!R33+'Comm 95+% Furnace - Replace'!R33+Custom!R33,0)</f>
        <v>18800</v>
      </c>
      <c r="S33" s="31">
        <f>+ROUND('Res .95+% Res Furnace - NEW'!S33+'Res .95+% Res Furnace - Replace'!S33+'Res Water Heating .67 EF'!S33+'Programmable Thermostats'!S33+'Comm 95+ Furnace - New'!S33+'Comm 95+% Furnace - Replace'!S33+Custom!S33,0)</f>
        <v>38</v>
      </c>
      <c r="T33" s="31">
        <f>+ROUND('Res .95+% Res Furnace - NEW'!T33+'Res .95+% Res Furnace - Replace'!T33+'Res Water Heating .67 EF'!T33+'Programmable Thermostats'!T33+'Comm 95+ Furnace - New'!T33+'Comm 95+% Furnace - Replace'!T33+Custom!T33,0)</f>
        <v>1204</v>
      </c>
      <c r="U33" s="31">
        <f>+ROUND('Res .95+% Res Furnace - NEW'!U33+'Res .95+% Res Furnace - Replace'!U33+'Res Water Heating .67 EF'!U33+'Programmable Thermostats'!U33+'Comm 95+ Furnace - New'!U33+'Comm 95+% Furnace - Replace'!U33+Custom!U33,0)</f>
        <v>6536</v>
      </c>
      <c r="V33" s="31">
        <f t="shared" si="13"/>
        <v>25336</v>
      </c>
      <c r="W33" s="62"/>
      <c r="X33" s="31">
        <f>+ROUND('Res .95+% Res Furnace - NEW'!X33+'Res .95+% Res Furnace - Replace'!X33+'Res Water Heating .67 EF'!X33+'Programmable Thermostats'!X33+'Comm 95+ Furnace - New'!X33+'Comm 95+% Furnace - Replace'!X33+Custom!X33,0)</f>
        <v>8474</v>
      </c>
      <c r="Y33" s="31">
        <f>+ROUND('Res .95+% Res Furnace - NEW'!Y33+'Res .95+% Res Furnace - Replace'!Y33+'Res Water Heating .67 EF'!Y33+'Programmable Thermostats'!Y33+'Comm 95+ Furnace - New'!Y33+'Comm 95+% Furnace - Replace'!Y33+Custom!Y33,0)</f>
        <v>0</v>
      </c>
      <c r="Z33" s="31">
        <f>+ROUND('Res .95+% Res Furnace - NEW'!Z33+'Res .95+% Res Furnace - Replace'!Z33+'Res Water Heating .67 EF'!Z33+'Programmable Thermostats'!Z33+'Comm 95+ Furnace - New'!Z33+'Comm 95+% Furnace - Replace'!Z33+Custom!Z33,0)</f>
        <v>0</v>
      </c>
      <c r="AA33" s="159">
        <f t="shared" si="14"/>
        <v>8474</v>
      </c>
      <c r="AB33" s="15">
        <f t="shared" si="15"/>
        <v>16862</v>
      </c>
      <c r="AE33" s="11">
        <f t="shared" si="16"/>
        <v>2034</v>
      </c>
      <c r="AF33" s="63">
        <f t="shared" si="2"/>
        <v>18800</v>
      </c>
      <c r="AG33" s="27">
        <f t="shared" si="3"/>
        <v>6536</v>
      </c>
      <c r="AH33" s="63">
        <f t="shared" si="30"/>
        <v>25336</v>
      </c>
      <c r="AJ33" s="54">
        <f t="shared" si="17"/>
        <v>0</v>
      </c>
      <c r="AK33" s="54">
        <f t="shared" si="17"/>
        <v>0</v>
      </c>
      <c r="AL33" s="49">
        <f t="shared" si="4"/>
        <v>0</v>
      </c>
      <c r="AN33" s="108">
        <f t="shared" si="5"/>
        <v>25336</v>
      </c>
      <c r="AQ33" s="11">
        <f t="shared" si="18"/>
        <v>2034</v>
      </c>
      <c r="AR33" s="66">
        <f t="shared" si="6"/>
        <v>18800</v>
      </c>
      <c r="AS33" s="63">
        <f t="shared" si="7"/>
        <v>6536</v>
      </c>
      <c r="AT33" s="15">
        <f t="shared" si="7"/>
        <v>25336</v>
      </c>
      <c r="AU33" s="31">
        <f>+ROUND('Res .95+% Res Furnace - NEW'!AT33+'Res .95+% Res Furnace - Replace'!AU33+'Res Water Heating .67 EF'!AU33+'Programmable Thermostats'!AU33+'Comm 95+ Furnace - New'!AU33+'Comm 95+% Furnace - Replace'!AU33+Custom!AU33,0)</f>
        <v>11583</v>
      </c>
      <c r="AV33" s="31">
        <f>+ROUND('Res .95+% Res Furnace - NEW'!AU33+'Res .95+% Res Furnace - Replace'!AV33+'Res Water Heating .67 EF'!AV33+'Programmable Thermostats'!AV33+'Comm 95+ Furnace - New'!AV33+'Comm 95+% Furnace - Replace'!AV33+Custom!AV33,0)</f>
        <v>4</v>
      </c>
      <c r="AW33" s="31">
        <f>+ROUND('Res .95+% Res Furnace - NEW'!AV33+'Res .95+% Res Furnace - Replace'!AW33+'Res Water Heating .67 EF'!AW33+'Programmable Thermostats'!AW33+'Comm 95+ Furnace - New'!AW33+'Comm 95+% Furnace - Replace'!AW33+Custom!AW33,0)</f>
        <v>2095</v>
      </c>
      <c r="AX33" s="134"/>
      <c r="AY33" s="135"/>
      <c r="AZ33" s="66">
        <f t="shared" si="19"/>
        <v>39014</v>
      </c>
      <c r="BA33" s="25"/>
      <c r="BB33" s="31">
        <f>+ROUND('Res .95+% Res Furnace - NEW'!BA33+'Res .95+% Res Furnace - Replace'!BB33+'Res Water Heating .67 EF'!BB33+'Programmable Thermostats'!BB33+'Comm 95+ Furnace - New'!BB33+'Comm 95+% Furnace - Replace'!BB33+Custom!BB33,0)</f>
        <v>0</v>
      </c>
      <c r="BC33" s="31">
        <f>+ROUND('Res .95+% Res Furnace - NEW'!BB33+'Res .95+% Res Furnace - Replace'!BC33+'Res Water Heating .67 EF'!BC33+'Programmable Thermostats'!BC33+'Comm 95+ Furnace - New'!BC33+'Comm 95+% Furnace - Replace'!BC33+Custom!BC33,0)</f>
        <v>0</v>
      </c>
      <c r="BD33" s="64">
        <f t="shared" si="20"/>
        <v>0</v>
      </c>
      <c r="BE33" s="66">
        <f t="shared" si="8"/>
        <v>39014</v>
      </c>
      <c r="BH33" s="11">
        <f t="shared" si="21"/>
        <v>2034</v>
      </c>
      <c r="BI33" s="31">
        <f>+ROUND('Res .95+% Res Furnace - NEW'!BH33+'Res .95+% Res Furnace - Replace'!BI33+'Res Water Heating .67 EF'!BI33+'Programmable Thermostats'!BI33+'Comm 95+ Furnace - New'!BI33+'Comm 95+% Furnace - Replace'!BI33+Custom!BI33,0)</f>
        <v>0</v>
      </c>
      <c r="BJ33" s="31">
        <f>+ROUND('Res .95+% Res Furnace - NEW'!BI33+'Res .95+% Res Furnace - Replace'!BJ33+'Res Water Heating .67 EF'!BJ33+'Programmable Thermostats'!BJ33+'Comm 95+ Furnace - New'!BJ33+'Comm 95+% Furnace - Replace'!BJ33+Custom!BJ33,0)</f>
        <v>3795</v>
      </c>
      <c r="BK33" s="31">
        <f>+ROUND('Res .95+% Res Furnace - NEW'!BJ33+'Res .95+% Res Furnace - Replace'!BK33+'Res Water Heating .67 EF'!BK33+'Programmable Thermostats'!BK33+'Comm 95+ Furnace - New'!BK33+'Comm 95+% Furnace - Replace'!BK33+Custom!BK33,0)</f>
        <v>81</v>
      </c>
      <c r="BL33" s="31">
        <f>+ROUND('Res .95+% Res Furnace - NEW'!BK33+'Res .95+% Res Furnace - Replace'!BL33+'Res Water Heating .67 EF'!BL33+'Programmable Thermostats'!BL33+'Comm 95+ Furnace - New'!BL33+'Comm 95+% Furnace - Replace'!BL33+Custom!BL33,0)</f>
        <v>44965</v>
      </c>
      <c r="BM33" s="31">
        <f>+ROUND('Res .95+% Res Furnace - NEW'!BL33+'Res .95+% Res Furnace - Replace'!BM33+'Res Water Heating .67 EF'!BM33+'Programmable Thermostats'!BM33+'Comm 95+ Furnace - New'!BM33+'Comm 95+% Furnace - Replace'!BM33+Custom!BM33,0)</f>
        <v>2</v>
      </c>
      <c r="BN33" s="31">
        <f>+ROUND('Res .95+% Res Furnace - NEW'!BM33+'Res .95+% Res Furnace - Replace'!BN33+'Res Water Heating .67 EF'!BN33+'Programmable Thermostats'!BN33+'Comm 95+ Furnace - New'!BN33+'Comm 95+% Furnace - Replace'!BN33+Custom!BN33,0)</f>
        <v>71200</v>
      </c>
      <c r="BO33" s="127"/>
      <c r="BP33" s="63">
        <f t="shared" si="9"/>
        <v>116165</v>
      </c>
      <c r="BR33" s="31">
        <f>+ROUND('Res .95+% Res Furnace - NEW'!BQ33+'Res .95+% Res Furnace - Replace'!BR33+'Res Water Heating .67 EF'!BR33+'Programmable Thermostats'!BR33+'Comm 95+ Furnace - New'!BR33+'Comm 95+% Furnace - Replace'!BR33+Custom!BR33,0)</f>
        <v>0</v>
      </c>
      <c r="BS33" s="63"/>
      <c r="BT33" s="15">
        <f t="shared" si="22"/>
        <v>116165</v>
      </c>
      <c r="BW33" s="11">
        <f t="shared" si="23"/>
        <v>2034</v>
      </c>
      <c r="BX33" s="63">
        <f t="shared" si="10"/>
        <v>18800</v>
      </c>
      <c r="BY33" s="20">
        <f t="shared" si="24"/>
        <v>6536</v>
      </c>
      <c r="BZ33" s="169">
        <f t="shared" si="25"/>
        <v>11583</v>
      </c>
      <c r="CA33" s="63">
        <f t="shared" si="26"/>
        <v>36919</v>
      </c>
      <c r="CC33" s="63">
        <f t="shared" si="27"/>
        <v>0</v>
      </c>
      <c r="CD33" s="63">
        <f t="shared" si="27"/>
        <v>0</v>
      </c>
      <c r="CE33" s="63">
        <f t="shared" si="28"/>
        <v>0</v>
      </c>
      <c r="CF33" s="63"/>
      <c r="CG33" s="15">
        <f t="shared" si="29"/>
        <v>36919</v>
      </c>
      <c r="DB33" s="4"/>
    </row>
    <row r="34" spans="1:106">
      <c r="A34" s="3" t="s">
        <v>18</v>
      </c>
      <c r="C34" s="19"/>
      <c r="E34" s="2" t="s">
        <v>76</v>
      </c>
      <c r="F34" s="191"/>
      <c r="G34" s="191"/>
      <c r="H34" s="191"/>
      <c r="J34" s="41">
        <f t="shared" si="11"/>
        <v>21</v>
      </c>
      <c r="K34" s="12"/>
      <c r="L34" s="16">
        <f t="shared" si="12"/>
        <v>2035</v>
      </c>
      <c r="M34" s="31">
        <f>+ROUND('Res .95+% Res Furnace - NEW'!M34+'Res .95+% Res Furnace - Replace'!M34+'Res Water Heating .67 EF'!M34+'Programmable Thermostats'!M34+'Comm 95+ Furnace - New'!M34+'Comm 95+% Furnace - Replace'!M34+Custom!M34,0)</f>
        <v>0</v>
      </c>
      <c r="N34" s="31">
        <f>+ROUND('Res .95+% Res Furnace - NEW'!N34+'Res .95+% Res Furnace - Replace'!N34+'Res Water Heating .67 EF'!N34+'Programmable Thermostats'!N34+'Comm 95+ Furnace - New'!N34+'Comm 95+% Furnace - Replace'!N34+Custom!N34,0)</f>
        <v>36</v>
      </c>
      <c r="O34" s="31">
        <f>+ROUND('Res .95+% Res Furnace - NEW'!O34+'Res .95+% Res Furnace - Replace'!O34+'Res Water Heating .67 EF'!O34+'Programmable Thermostats'!O34+'Comm 95+ Furnace - New'!O34+'Comm 95+% Furnace - Replace'!O34+Custom!O34,0)</f>
        <v>0</v>
      </c>
      <c r="P34" s="31">
        <f>+ROUND('Res .95+% Res Furnace - NEW'!P34+'Res .95+% Res Furnace - Replace'!P34+'Res Water Heating .67 EF'!P34+'Programmable Thermostats'!P34+'Comm 95+ Furnace - New'!P34+'Comm 95+% Furnace - Replace'!P34+Custom!P34,0)</f>
        <v>0</v>
      </c>
      <c r="Q34" s="31">
        <f>+ROUND('Res .95+% Res Furnace - NEW'!Q34+'Res .95+% Res Furnace - Replace'!Q34+'Res Water Heating .67 EF'!Q34+'Programmable Thermostats'!Q34+'Comm 95+ Furnace - New'!Q34+'Comm 95+% Furnace - Replace'!Q34+Custom!Q34,0)</f>
        <v>0</v>
      </c>
      <c r="R34" s="31">
        <f>+ROUND('Res .95+% Res Furnace - NEW'!R34+'Res .95+% Res Furnace - Replace'!R34+'Res Water Heating .67 EF'!R34+'Programmable Thermostats'!R34+'Comm 95+ Furnace - New'!R34+'Comm 95+% Furnace - Replace'!R34+Custom!R34,0)</f>
        <v>0</v>
      </c>
      <c r="S34" s="31">
        <f>+ROUND('Res .95+% Res Furnace - NEW'!S34+'Res .95+% Res Furnace - Replace'!S34+'Res Water Heating .67 EF'!S34+'Programmable Thermostats'!S34+'Comm 95+ Furnace - New'!S34+'Comm 95+% Furnace - Replace'!S34+Custom!S34,0)</f>
        <v>0</v>
      </c>
      <c r="T34" s="31">
        <f>+ROUND('Res .95+% Res Furnace - NEW'!T34+'Res .95+% Res Furnace - Replace'!T34+'Res Water Heating .67 EF'!T34+'Programmable Thermostats'!T34+'Comm 95+ Furnace - New'!T34+'Comm 95+% Furnace - Replace'!T34+Custom!T34,0)</f>
        <v>1218</v>
      </c>
      <c r="U34" s="31">
        <f>+ROUND('Res .95+% Res Furnace - NEW'!U34+'Res .95+% Res Furnace - Replace'!U34+'Res Water Heating .67 EF'!U34+'Programmable Thermostats'!U34+'Comm 95+ Furnace - New'!U34+'Comm 95+% Furnace - Replace'!U34+Custom!U34,0)</f>
        <v>0</v>
      </c>
      <c r="V34" s="31">
        <f t="shared" si="13"/>
        <v>0</v>
      </c>
      <c r="W34" s="123"/>
      <c r="X34" s="31">
        <f>+ROUND('Res .95+% Res Furnace - NEW'!X34+'Res .95+% Res Furnace - Replace'!X34+'Res Water Heating .67 EF'!X34+'Programmable Thermostats'!X34+'Comm 95+ Furnace - New'!X34+'Comm 95+% Furnace - Replace'!X34+Custom!X34,0)</f>
        <v>0</v>
      </c>
      <c r="Y34" s="31">
        <f>+ROUND('Res .95+% Res Furnace - NEW'!Y34+'Res .95+% Res Furnace - Replace'!Y34+'Res Water Heating .67 EF'!Y34+'Programmable Thermostats'!Y34+'Comm 95+ Furnace - New'!Y34+'Comm 95+% Furnace - Replace'!Y34+Custom!Y34,0)</f>
        <v>0</v>
      </c>
      <c r="Z34" s="31">
        <f>+ROUND('Res .95+% Res Furnace - NEW'!Z34+'Res .95+% Res Furnace - Replace'!Z34+'Res Water Heating .67 EF'!Z34+'Programmable Thermostats'!Z34+'Comm 95+ Furnace - New'!Z34+'Comm 95+% Furnace - Replace'!Z34+Custom!Z34,0)</f>
        <v>0</v>
      </c>
      <c r="AA34" s="159">
        <f t="shared" si="14"/>
        <v>0</v>
      </c>
      <c r="AB34" s="15">
        <f t="shared" si="15"/>
        <v>0</v>
      </c>
      <c r="AC34" s="12"/>
      <c r="AD34" s="12"/>
      <c r="AE34" s="16">
        <f t="shared" si="16"/>
        <v>2035</v>
      </c>
      <c r="AF34" s="66">
        <f t="shared" si="2"/>
        <v>0</v>
      </c>
      <c r="AG34" s="140">
        <f t="shared" si="3"/>
        <v>0</v>
      </c>
      <c r="AH34" s="66">
        <f t="shared" si="30"/>
        <v>0</v>
      </c>
      <c r="AI34" s="12"/>
      <c r="AJ34" s="54">
        <f t="shared" si="17"/>
        <v>0</v>
      </c>
      <c r="AK34" s="54">
        <f t="shared" si="17"/>
        <v>0</v>
      </c>
      <c r="AL34" s="49">
        <f t="shared" si="4"/>
        <v>0</v>
      </c>
      <c r="AM34" s="12"/>
      <c r="AN34" s="252">
        <f t="shared" si="5"/>
        <v>0</v>
      </c>
      <c r="AO34" s="12"/>
      <c r="AP34" s="12"/>
      <c r="AQ34" s="16">
        <f t="shared" si="18"/>
        <v>2035</v>
      </c>
      <c r="AR34" s="66">
        <f t="shared" si="6"/>
        <v>0</v>
      </c>
      <c r="AS34" s="66">
        <f t="shared" si="7"/>
        <v>0</v>
      </c>
      <c r="AT34" s="15">
        <f t="shared" si="7"/>
        <v>0</v>
      </c>
      <c r="AU34" s="31">
        <f>+ROUND('Res .95+% Res Furnace - NEW'!AT34+'Res .95+% Res Furnace - Replace'!AU34+'Res Water Heating .67 EF'!AU34+'Programmable Thermostats'!AU34+'Comm 95+ Furnace - New'!AU34+'Comm 95+% Furnace - Replace'!AU34+Custom!AU34,0)</f>
        <v>0</v>
      </c>
      <c r="AV34" s="31">
        <f>+ROUND('Res .95+% Res Furnace - NEW'!AU34+'Res .95+% Res Furnace - Replace'!AV34+'Res Water Heating .67 EF'!AV34+'Programmable Thermostats'!AV34+'Comm 95+ Furnace - New'!AV34+'Comm 95+% Furnace - Replace'!AV34+Custom!AV34,0)</f>
        <v>4</v>
      </c>
      <c r="AW34" s="31">
        <f>+ROUND('Res .95+% Res Furnace - NEW'!AV34+'Res .95+% Res Furnace - Replace'!AW34+'Res Water Heating .67 EF'!AW34+'Programmable Thermostats'!AW34+'Comm 95+ Furnace - New'!AW34+'Comm 95+% Furnace - Replace'!AW34+Custom!AW34,0)</f>
        <v>0</v>
      </c>
      <c r="AX34" s="141"/>
      <c r="AY34" s="253"/>
      <c r="AZ34" s="66">
        <f t="shared" si="19"/>
        <v>0</v>
      </c>
      <c r="BA34" s="254"/>
      <c r="BB34" s="31">
        <f>+ROUND('Res .95+% Res Furnace - NEW'!BA34+'Res .95+% Res Furnace - Replace'!BB34+'Res Water Heating .67 EF'!BB34+'Programmable Thermostats'!BB34+'Comm 95+ Furnace - New'!BB34+'Comm 95+% Furnace - Replace'!BB34+Custom!BB34,0)</f>
        <v>0</v>
      </c>
      <c r="BC34" s="31">
        <f>+ROUND('Res .95+% Res Furnace - NEW'!BB34+'Res .95+% Res Furnace - Replace'!BC34+'Res Water Heating .67 EF'!BC34+'Programmable Thermostats'!BC34+'Comm 95+ Furnace - New'!BC34+'Comm 95+% Furnace - Replace'!BC34+Custom!BC34,0)</f>
        <v>0</v>
      </c>
      <c r="BD34" s="255">
        <f t="shared" si="20"/>
        <v>0</v>
      </c>
      <c r="BE34" s="66">
        <f t="shared" si="8"/>
        <v>0</v>
      </c>
      <c r="BF34" s="12"/>
      <c r="BG34" s="12"/>
      <c r="BH34" s="16">
        <f t="shared" si="21"/>
        <v>2035</v>
      </c>
      <c r="BI34" s="31">
        <f>+ROUND('Res .95+% Res Furnace - NEW'!BH34+'Res .95+% Res Furnace - Replace'!BI34+'Res Water Heating .67 EF'!BI34+'Programmable Thermostats'!BI34+'Comm 95+ Furnace - New'!BI34+'Comm 95+% Furnace - Replace'!BI34+Custom!BI34,0)</f>
        <v>0</v>
      </c>
      <c r="BJ34" s="31">
        <f>+ROUND('Res .95+% Res Furnace - NEW'!BI34+'Res .95+% Res Furnace - Replace'!BJ34+'Res Water Heating .67 EF'!BJ34+'Programmable Thermostats'!BJ34+'Comm 95+ Furnace - New'!BJ34+'Comm 95+% Furnace - Replace'!BJ34+Custom!BJ34,0)</f>
        <v>0</v>
      </c>
      <c r="BK34" s="31">
        <f>+ROUND('Res .95+% Res Furnace - NEW'!BJ34+'Res .95+% Res Furnace - Replace'!BK34+'Res Water Heating .67 EF'!BK34+'Programmable Thermostats'!BK34+'Comm 95+ Furnace - New'!BK34+'Comm 95+% Furnace - Replace'!BK34+Custom!BK34,0)</f>
        <v>83</v>
      </c>
      <c r="BL34" s="31">
        <f>+ROUND('Res .95+% Res Furnace - NEW'!BK34+'Res .95+% Res Furnace - Replace'!BL34+'Res Water Heating .67 EF'!BL34+'Programmable Thermostats'!BL34+'Comm 95+ Furnace - New'!BL34+'Comm 95+% Furnace - Replace'!BL34+Custom!BL34,0)</f>
        <v>0</v>
      </c>
      <c r="BM34" s="31">
        <f>+ROUND('Res .95+% Res Furnace - NEW'!BL34+'Res .95+% Res Furnace - Replace'!BM34+'Res Water Heating .67 EF'!BM34+'Programmable Thermostats'!BM34+'Comm 95+ Furnace - New'!BM34+'Comm 95+% Furnace - Replace'!BM34+Custom!BM34,0)</f>
        <v>2</v>
      </c>
      <c r="BN34" s="31">
        <f>+ROUND('Res .95+% Res Furnace - NEW'!BM34+'Res .95+% Res Furnace - Replace'!BN34+'Res Water Heating .67 EF'!BN34+'Programmable Thermostats'!BN34+'Comm 95+ Furnace - New'!BN34+'Comm 95+% Furnace - Replace'!BN34+Custom!BN34,0)</f>
        <v>0</v>
      </c>
      <c r="BO34" s="127"/>
      <c r="BP34" s="66">
        <f t="shared" si="9"/>
        <v>0</v>
      </c>
      <c r="BQ34" s="12"/>
      <c r="BR34" s="31">
        <f>+ROUND('Res .95+% Res Furnace - NEW'!BQ34+'Res .95+% Res Furnace - Replace'!BR34+'Res Water Heating .67 EF'!BR34+'Programmable Thermostats'!BR34+'Comm 95+ Furnace - New'!BR34+'Comm 95+% Furnace - Replace'!BR34+Custom!BR34,0)</f>
        <v>0</v>
      </c>
      <c r="BS34" s="66"/>
      <c r="BT34" s="555">
        <f t="shared" si="22"/>
        <v>0</v>
      </c>
      <c r="BU34" s="12"/>
      <c r="BV34" s="12"/>
      <c r="BW34" s="16">
        <f t="shared" si="23"/>
        <v>2035</v>
      </c>
      <c r="BX34" s="66">
        <f t="shared" si="10"/>
        <v>0</v>
      </c>
      <c r="BY34" s="31">
        <f t="shared" si="24"/>
        <v>0</v>
      </c>
      <c r="BZ34" s="169">
        <f t="shared" si="25"/>
        <v>0</v>
      </c>
      <c r="CA34" s="66">
        <f t="shared" si="26"/>
        <v>0</v>
      </c>
      <c r="CB34" s="12"/>
      <c r="CC34" s="66">
        <f t="shared" si="27"/>
        <v>0</v>
      </c>
      <c r="CD34" s="66">
        <f t="shared" si="27"/>
        <v>0</v>
      </c>
      <c r="CE34" s="66">
        <f t="shared" si="28"/>
        <v>0</v>
      </c>
      <c r="CF34" s="66"/>
      <c r="CG34" s="15">
        <f t="shared" si="29"/>
        <v>0</v>
      </c>
      <c r="DB34" s="4"/>
    </row>
    <row r="35" spans="1:106">
      <c r="A35" s="3"/>
      <c r="C35" s="19"/>
      <c r="E35" s="3"/>
      <c r="F35" s="28"/>
      <c r="G35" s="67"/>
      <c r="H35" s="67"/>
      <c r="J35" s="4">
        <f t="shared" si="11"/>
        <v>22</v>
      </c>
      <c r="L35" s="11">
        <f t="shared" si="12"/>
        <v>2036</v>
      </c>
      <c r="M35" s="31">
        <f>+ROUND('Res .95+% Res Furnace - NEW'!M35+'Res .95+% Res Furnace - Replace'!M35+'Res Water Heating .67 EF'!M35+'Programmable Thermostats'!M35+'Comm 95+ Furnace - New'!M35+'Comm 95+% Furnace - Replace'!M35+Custom!M35,0)</f>
        <v>0</v>
      </c>
      <c r="N35" s="31">
        <f>+ROUND('Res .95+% Res Furnace - NEW'!N35+'Res .95+% Res Furnace - Replace'!N35+'Res Water Heating .67 EF'!N35+'Programmable Thermostats'!N35+'Comm 95+ Furnace - New'!N35+'Comm 95+% Furnace - Replace'!N35+Custom!N35,0)</f>
        <v>0</v>
      </c>
      <c r="O35" s="31">
        <f>+ROUND('Res .95+% Res Furnace - NEW'!O35+'Res .95+% Res Furnace - Replace'!O35+'Res Water Heating .67 EF'!O35+'Programmable Thermostats'!O35+'Comm 95+ Furnace - New'!O35+'Comm 95+% Furnace - Replace'!O35+Custom!O35,0)</f>
        <v>0</v>
      </c>
      <c r="P35" s="31">
        <f>+ROUND('Res .95+% Res Furnace - NEW'!P35+'Res .95+% Res Furnace - Replace'!P35+'Res Water Heating .67 EF'!P35+'Programmable Thermostats'!P35+'Comm 95+ Furnace - New'!P35+'Comm 95+% Furnace - Replace'!P35+Custom!P35,0)</f>
        <v>0</v>
      </c>
      <c r="Q35" s="31">
        <f>+ROUND('Res .95+% Res Furnace - NEW'!Q35+'Res .95+% Res Furnace - Replace'!Q35+'Res Water Heating .67 EF'!Q35+'Programmable Thermostats'!Q35+'Comm 95+ Furnace - New'!Q35+'Comm 95+% Furnace - Replace'!Q35+Custom!Q35,0)</f>
        <v>0</v>
      </c>
      <c r="R35" s="31">
        <f>+ROUND('Res .95+% Res Furnace - NEW'!R35+'Res .95+% Res Furnace - Replace'!R35+'Res Water Heating .67 EF'!R35+'Programmable Thermostats'!R35+'Comm 95+ Furnace - New'!R35+'Comm 95+% Furnace - Replace'!R35+Custom!R35,0)</f>
        <v>0</v>
      </c>
      <c r="S35" s="31">
        <f>+ROUND('Res .95+% Res Furnace - NEW'!S35+'Res .95+% Res Furnace - Replace'!S35+'Res Water Heating .67 EF'!S35+'Programmable Thermostats'!S35+'Comm 95+ Furnace - New'!S35+'Comm 95+% Furnace - Replace'!S35+Custom!S35,0)</f>
        <v>0</v>
      </c>
      <c r="T35" s="31">
        <f>+ROUND('Res .95+% Res Furnace - NEW'!T35+'Res .95+% Res Furnace - Replace'!T35+'Res Water Heating .67 EF'!T35+'Programmable Thermostats'!T35+'Comm 95+ Furnace - New'!T35+'Comm 95+% Furnace - Replace'!T35+Custom!T35,0)</f>
        <v>0</v>
      </c>
      <c r="U35" s="31">
        <f>+ROUND('Res .95+% Res Furnace - NEW'!U35+'Res .95+% Res Furnace - Replace'!U35+'Res Water Heating .67 EF'!U35+'Programmable Thermostats'!U35+'Comm 95+ Furnace - New'!U35+'Comm 95+% Furnace - Replace'!U35+Custom!U35,0)</f>
        <v>0</v>
      </c>
      <c r="V35" s="50">
        <f>ROUND(+U35+R35,0)</f>
        <v>0</v>
      </c>
      <c r="W35" s="62"/>
      <c r="X35" s="31">
        <f>+ROUND('Res .95+% Res Furnace - NEW'!X35+'Res .95+% Res Furnace - Replace'!X35+'Res Water Heating .67 EF'!X35+'Programmable Thermostats'!X35+'Comm 95+ Furnace - New'!X35+'Comm 95+% Furnace - Replace'!X35+Custom!X35,0)</f>
        <v>0</v>
      </c>
      <c r="Y35" s="31">
        <f>+ROUND('Res .95+% Res Furnace - NEW'!Y35+'Res .95+% Res Furnace - Replace'!Y35+'Res Water Heating .67 EF'!Y35+'Programmable Thermostats'!Y35+'Comm 95+ Furnace - New'!Y35+'Comm 95+% Furnace - Replace'!Y35+Custom!Y35,0)</f>
        <v>0</v>
      </c>
      <c r="Z35" s="31">
        <f>+ROUND('Res .95+% Res Furnace - NEW'!Z35+'Res .95+% Res Furnace - Replace'!Z35+'Res Water Heating .67 EF'!Z35+'Programmable Thermostats'!Z35+'Comm 95+ Furnace - New'!Z35+'Comm 95+% Furnace - Replace'!Z35+Custom!Z35,0)</f>
        <v>0</v>
      </c>
      <c r="AA35" s="159">
        <f t="shared" si="14"/>
        <v>0</v>
      </c>
      <c r="AB35" s="15">
        <f t="shared" si="15"/>
        <v>0</v>
      </c>
      <c r="AE35" s="11">
        <f t="shared" si="16"/>
        <v>2036</v>
      </c>
      <c r="AF35" s="66">
        <f>+R35</f>
        <v>0</v>
      </c>
      <c r="AG35" s="140">
        <f>+U35</f>
        <v>0</v>
      </c>
      <c r="AH35" s="71">
        <f>+AG35+AF35</f>
        <v>0</v>
      </c>
      <c r="AJ35" s="54">
        <f>ROUND(Y35,0)</f>
        <v>0</v>
      </c>
      <c r="AK35" s="54">
        <f>ROUND(Z35,0)</f>
        <v>0</v>
      </c>
      <c r="AL35" s="51">
        <f>SUM(AJ35:AK35)</f>
        <v>0</v>
      </c>
      <c r="AN35" s="109">
        <f>+AH35-AL35</f>
        <v>0</v>
      </c>
      <c r="AQ35" s="11">
        <f t="shared" si="18"/>
        <v>2036</v>
      </c>
      <c r="AR35" s="66">
        <f>AF35</f>
        <v>0</v>
      </c>
      <c r="AS35" s="66">
        <f>+AG35</f>
        <v>0</v>
      </c>
      <c r="AT35" s="15">
        <f t="shared" ref="AT35" si="31">+AH35</f>
        <v>0</v>
      </c>
      <c r="AU35" s="31">
        <f>+ROUND('Res .95+% Res Furnace - NEW'!AT35+'Res .95+% Res Furnace - Replace'!AU35+'Res Water Heating .67 EF'!AU35+'Programmable Thermostats'!AU35+'Comm 95+ Furnace - New'!AU35+'Comm 95+% Furnace - Replace'!AU35+Custom!AU35,0)</f>
        <v>0</v>
      </c>
      <c r="AV35" s="31">
        <f>+ROUND('Res .95+% Res Furnace - NEW'!AU35+'Res .95+% Res Furnace - Replace'!AV35+'Res Water Heating .67 EF'!AV35+'Programmable Thermostats'!AV35+'Comm 95+ Furnace - New'!AV35+'Comm 95+% Furnace - Replace'!AV35+Custom!AV35,0)</f>
        <v>0</v>
      </c>
      <c r="AW35" s="31">
        <f>+ROUND('Res .95+% Res Furnace - NEW'!AV35+'Res .95+% Res Furnace - Replace'!AW35+'Res Water Heating .67 EF'!AW35+'Programmable Thermostats'!AW35+'Comm 95+ Furnace - New'!AW35+'Comm 95+% Furnace - Replace'!AW35+Custom!AW35,0)</f>
        <v>0</v>
      </c>
      <c r="AX35" s="134"/>
      <c r="AY35" s="136"/>
      <c r="AZ35" s="71">
        <f>ROUND(AR35+AS35+AU35+AW35+AY35,0)</f>
        <v>0</v>
      </c>
      <c r="BA35" s="25"/>
      <c r="BB35" s="31">
        <f>+ROUND('Res .95+% Res Furnace - NEW'!BA35+'Res .95+% Res Furnace - Replace'!BB35+'Res Water Heating .67 EF'!BB35+'Programmable Thermostats'!BB35+'Comm 95+ Furnace - New'!BB35+'Comm 95+% Furnace - Replace'!BB35+Custom!BB35,0)</f>
        <v>0</v>
      </c>
      <c r="BC35" s="31">
        <f>+ROUND('Res .95+% Res Furnace - NEW'!BB35+'Res .95+% Res Furnace - Replace'!BC35+'Res Water Heating .67 EF'!BC35+'Programmable Thermostats'!BC35+'Comm 95+ Furnace - New'!BC35+'Comm 95+% Furnace - Replace'!BC35+Custom!BC35,0)</f>
        <v>0</v>
      </c>
      <c r="BD35" s="72">
        <f>BB35+BC35</f>
        <v>0</v>
      </c>
      <c r="BE35" s="71">
        <f>AZ35-BD35</f>
        <v>0</v>
      </c>
      <c r="BH35" s="11">
        <f t="shared" si="21"/>
        <v>2036</v>
      </c>
      <c r="BI35" s="31">
        <f>+ROUND('Res .95+% Res Furnace - NEW'!BH35+'Res .95+% Res Furnace - Replace'!BI35+'Res Water Heating .67 EF'!BI35+'Programmable Thermostats'!BI35+'Comm 95+ Furnace - New'!BI35+'Comm 95+% Furnace - Replace'!BI35+Custom!BI35,0)</f>
        <v>0</v>
      </c>
      <c r="BJ35" s="31">
        <f>+ROUND('Res .95+% Res Furnace - NEW'!BI35+'Res .95+% Res Furnace - Replace'!BJ35+'Res Water Heating .67 EF'!BJ35+'Programmable Thermostats'!BJ35+'Comm 95+ Furnace - New'!BJ35+'Comm 95+% Furnace - Replace'!BJ35+Custom!BJ35,0)</f>
        <v>0</v>
      </c>
      <c r="BK35" s="31">
        <f>+ROUND('Res .95+% Res Furnace - NEW'!BJ35+'Res .95+% Res Furnace - Replace'!BK35+'Res Water Heating .67 EF'!BK35+'Programmable Thermostats'!BK35+'Comm 95+ Furnace - New'!BK35+'Comm 95+% Furnace - Replace'!BK35+Custom!BK35,0)</f>
        <v>0</v>
      </c>
      <c r="BL35" s="31">
        <f>+ROUND('Res .95+% Res Furnace - NEW'!BK35+'Res .95+% Res Furnace - Replace'!BL35+'Res Water Heating .67 EF'!BL35+'Programmable Thermostats'!BL35+'Comm 95+ Furnace - New'!BL35+'Comm 95+% Furnace - Replace'!BL35+Custom!BL35,0)</f>
        <v>0</v>
      </c>
      <c r="BM35" s="31">
        <f>+ROUND('Res .95+% Res Furnace - NEW'!BL35+'Res .95+% Res Furnace - Replace'!BM35+'Res Water Heating .67 EF'!BM35+'Programmable Thermostats'!BM35+'Comm 95+ Furnace - New'!BM35+'Comm 95+% Furnace - Replace'!BM35+Custom!BM35,0)</f>
        <v>0</v>
      </c>
      <c r="BN35" s="31">
        <f>+ROUND('Res .95+% Res Furnace - NEW'!BM35+'Res .95+% Res Furnace - Replace'!BN35+'Res Water Heating .67 EF'!BN35+'Programmable Thermostats'!BN35+'Comm 95+ Furnace - New'!BN35+'Comm 95+% Furnace - Replace'!BN35+Custom!BN35,0)</f>
        <v>0</v>
      </c>
      <c r="BO35" s="128"/>
      <c r="BP35" s="71">
        <f>BI35+BL35+BN35+BO35</f>
        <v>0</v>
      </c>
      <c r="BR35" s="50">
        <f>+ROUND('Res .95+% Res Furnace - NEW'!BQ35+'Res .95+% Res Furnace - Replace'!BR35+'Res Water Heating .67 EF'!BR35+'Programmable Thermostats'!BR35+'Comm 95+ Furnace - New'!BR35+'Comm 95+% Furnace - Replace'!BR35+Custom!BR35,0)</f>
        <v>0</v>
      </c>
      <c r="BS35" s="66"/>
      <c r="BT35" s="15">
        <f t="shared" si="22"/>
        <v>0</v>
      </c>
      <c r="BW35" s="11">
        <f t="shared" si="23"/>
        <v>2036</v>
      </c>
      <c r="BX35" s="66">
        <f t="shared" si="10"/>
        <v>0</v>
      </c>
      <c r="BY35" s="20">
        <f>U35</f>
        <v>0</v>
      </c>
      <c r="BZ35" s="169">
        <f>AU35</f>
        <v>0</v>
      </c>
      <c r="CA35" s="71">
        <f>SUM(BX35:BZ35)</f>
        <v>0</v>
      </c>
      <c r="CC35" s="71">
        <f>BB35</f>
        <v>0</v>
      </c>
      <c r="CD35" s="71">
        <f>BC35</f>
        <v>0</v>
      </c>
      <c r="CE35" s="71">
        <f>SUM(CC35:CD35)</f>
        <v>0</v>
      </c>
      <c r="CF35" s="71"/>
      <c r="CG35" s="555">
        <f t="shared" si="29"/>
        <v>0</v>
      </c>
      <c r="DB35" s="4">
        <f>$J21</f>
        <v>8</v>
      </c>
    </row>
    <row r="36" spans="1:106">
      <c r="A36" s="3" t="s">
        <v>77</v>
      </c>
      <c r="C36" s="14"/>
      <c r="E36" s="35" t="s">
        <v>91</v>
      </c>
      <c r="F36" s="36"/>
      <c r="H36" s="46"/>
      <c r="BM36" s="31"/>
      <c r="DB36" s="4"/>
    </row>
    <row r="37" spans="1:106">
      <c r="A37" s="2" t="s">
        <v>47</v>
      </c>
      <c r="C37" s="19"/>
      <c r="E37" s="37"/>
      <c r="F37" s="38"/>
      <c r="H37" s="37"/>
      <c r="J37" s="32"/>
      <c r="K37" s="2" t="s">
        <v>211</v>
      </c>
      <c r="M37" s="20">
        <f>SUM(M14:M35)</f>
        <v>80490</v>
      </c>
      <c r="N37" s="2"/>
      <c r="R37" s="32"/>
      <c r="S37" s="30"/>
      <c r="T37" s="22"/>
      <c r="V37" s="30">
        <f>SUM(V14:V35)</f>
        <v>416266</v>
      </c>
      <c r="X37" s="15"/>
      <c r="Y37" s="15"/>
      <c r="Z37" s="15"/>
      <c r="AA37" s="15">
        <f>SUM(AA14:AA35)</f>
        <v>245539</v>
      </c>
      <c r="AB37" s="15">
        <f>SUM(AB14:AB35)</f>
        <v>170727</v>
      </c>
      <c r="AD37" s="3" t="s">
        <v>78</v>
      </c>
      <c r="AE37" s="20"/>
      <c r="AF37" s="15"/>
      <c r="AG37" s="15"/>
      <c r="AH37" s="15">
        <f>SUM(AH14:AH35)</f>
        <v>416266</v>
      </c>
      <c r="AL37" s="15">
        <f>SUM(AL14:AL35)</f>
        <v>114563</v>
      </c>
      <c r="AN37" s="15">
        <f>SUM(AN14:AN35)</f>
        <v>301703</v>
      </c>
      <c r="AP37" s="3" t="s">
        <v>78</v>
      </c>
      <c r="AQ37" s="20"/>
      <c r="AR37" s="15"/>
      <c r="AS37" s="15"/>
      <c r="AU37" s="63"/>
      <c r="AW37" s="63"/>
      <c r="AY37" s="63"/>
      <c r="AZ37" s="137">
        <f>SUM(AZ14:AZ35)</f>
        <v>621064</v>
      </c>
      <c r="BB37" s="15"/>
      <c r="BC37" s="15"/>
      <c r="BD37" s="15">
        <f>SUM(BD14:BD35)</f>
        <v>193715</v>
      </c>
      <c r="BE37" s="15">
        <f>SUM(BE14:BE35)</f>
        <v>427349</v>
      </c>
      <c r="BG37" s="165" t="s">
        <v>211</v>
      </c>
      <c r="BI37" s="15"/>
      <c r="BJ37" s="20">
        <f>SUM(BJ14:BJ35)</f>
        <v>80490</v>
      </c>
      <c r="BK37" s="22"/>
      <c r="BL37" s="15"/>
      <c r="BN37" s="15"/>
      <c r="BO37" s="15"/>
      <c r="BP37" s="15">
        <f>SUM(BP14:BP35)</f>
        <v>1847701</v>
      </c>
      <c r="BR37" s="15">
        <f>SUM(BR14:BR35)</f>
        <v>185792</v>
      </c>
      <c r="BS37" s="15"/>
      <c r="BT37" s="15">
        <f>SUM(BT14:BT35)</f>
        <v>1661909</v>
      </c>
      <c r="BX37" s="15"/>
      <c r="BY37" s="20"/>
      <c r="BZ37" s="165" t="s">
        <v>211</v>
      </c>
      <c r="CA37" s="15">
        <f>SUM(CA14:CA35)</f>
        <v>585230</v>
      </c>
      <c r="CC37" s="15"/>
      <c r="CD37" s="15"/>
      <c r="CE37" s="15">
        <f>SUM(CE14:CE35)</f>
        <v>193715</v>
      </c>
      <c r="CF37" s="15"/>
      <c r="CG37" s="15">
        <f>SUM(CG14:CG35)</f>
        <v>391515</v>
      </c>
      <c r="DB37" s="4">
        <f>$J22</f>
        <v>9</v>
      </c>
    </row>
    <row r="38" spans="1:106">
      <c r="C38" s="19"/>
      <c r="E38" s="68" t="s">
        <v>98</v>
      </c>
      <c r="F38" s="37"/>
      <c r="H38" s="186"/>
      <c r="M38" s="20"/>
      <c r="N38" s="2"/>
      <c r="R38" s="32"/>
      <c r="S38" s="69"/>
      <c r="T38" s="6" t="s">
        <v>80</v>
      </c>
      <c r="V38" s="69">
        <f>ROUND(V14+NPV($C$41,V15:V35),0)</f>
        <v>216905</v>
      </c>
      <c r="X38" s="15"/>
      <c r="Y38" s="15"/>
      <c r="Z38" s="15"/>
      <c r="AA38" s="15">
        <f>ROUND(AA14+NPV($C$41,AA15:AA35),0)</f>
        <v>181606</v>
      </c>
      <c r="AB38" s="15">
        <f>ROUND(AB14+NPV($C$41,AB15:AB35),0)</f>
        <v>35299</v>
      </c>
      <c r="AF38" s="15"/>
      <c r="AG38" s="3" t="s">
        <v>80</v>
      </c>
      <c r="AH38" s="15">
        <f>ROUND(AH14+NPV($C$41,AH15:AH35),0)</f>
        <v>216905</v>
      </c>
      <c r="AL38" s="15">
        <f>ROUND(AL14+NPV($C$41,AL15:AL35),0)</f>
        <v>114563</v>
      </c>
      <c r="AN38" s="15">
        <f>+AH38-AL38</f>
        <v>102342</v>
      </c>
      <c r="AR38" s="15"/>
      <c r="AS38" s="15"/>
      <c r="AU38" s="63"/>
      <c r="AW38" s="3" t="s">
        <v>80</v>
      </c>
      <c r="AY38" s="63"/>
      <c r="AZ38" s="15">
        <f>ROUND(AZ14+NPV($C$43,AZ15:AZ35),0)</f>
        <v>442868</v>
      </c>
      <c r="BB38" s="15"/>
      <c r="BC38" s="15"/>
      <c r="BD38" s="15">
        <f>ROUND(BD14+NPV($C$43,BD15:BD35),0)</f>
        <v>193715</v>
      </c>
      <c r="BE38" s="15">
        <f>AZ38-BD38</f>
        <v>249153</v>
      </c>
      <c r="BG38" s="8"/>
      <c r="BI38" s="15"/>
      <c r="BL38" s="15"/>
      <c r="BN38" s="15" t="s">
        <v>203</v>
      </c>
      <c r="BO38" s="15"/>
      <c r="BP38" s="15">
        <f>ROUND(BP14+NPV($C$39,BP15:BP35),0)</f>
        <v>848302</v>
      </c>
      <c r="BR38" s="15">
        <f>ROUND(BR14+NPV($C$39,BR15:BR35),0)</f>
        <v>185792</v>
      </c>
      <c r="BS38" s="15"/>
      <c r="BT38" s="20">
        <f>ROUND(BT14+NPV($C$39,BT15:BT35),0)</f>
        <v>662510</v>
      </c>
      <c r="BV38" s="8"/>
      <c r="BX38" s="15"/>
      <c r="BZ38" s="15" t="s">
        <v>203</v>
      </c>
      <c r="CA38" s="15">
        <f>ROUND(CA14+NPV($C$41,CA15:CA35),0)</f>
        <v>301553</v>
      </c>
      <c r="CC38" s="15"/>
      <c r="CD38" s="15"/>
      <c r="CE38" s="15">
        <f>ROUND(CE14+NPV($C$41,CE15:CE35),0)</f>
        <v>193715</v>
      </c>
      <c r="CF38" s="15"/>
      <c r="CG38" s="20">
        <f>ROUND(CG14+NPV($C$41,CG15:CG35),0)</f>
        <v>107838</v>
      </c>
      <c r="DB38" s="4"/>
    </row>
    <row r="39" spans="1:106">
      <c r="A39" s="3" t="s">
        <v>79</v>
      </c>
      <c r="C39" s="17">
        <f>+'Gas Input Table Summary'!D26</f>
        <v>0.1</v>
      </c>
      <c r="E39" s="183" t="s">
        <v>225</v>
      </c>
      <c r="M39" s="20"/>
      <c r="N39" s="2"/>
      <c r="R39" s="32"/>
      <c r="T39" s="22"/>
      <c r="V39" s="31"/>
      <c r="X39" s="3" t="s">
        <v>81</v>
      </c>
      <c r="Z39" s="20"/>
      <c r="AA39" s="20"/>
      <c r="AB39" s="31"/>
      <c r="AF39" s="20"/>
      <c r="AH39" s="20"/>
      <c r="AI39" s="20"/>
      <c r="AR39" s="20"/>
      <c r="AY39" s="20"/>
      <c r="AZ39" s="20"/>
      <c r="BA39" s="20"/>
      <c r="BB39" s="20"/>
      <c r="BC39" s="20"/>
      <c r="BD39" s="20"/>
      <c r="BE39" s="20"/>
      <c r="BF39" s="20"/>
      <c r="BG39" s="8"/>
      <c r="BI39" s="15"/>
      <c r="BP39" s="20"/>
      <c r="BS39" s="20"/>
      <c r="BU39" s="20"/>
      <c r="BV39" s="8"/>
      <c r="BX39" s="15"/>
      <c r="CA39" s="20"/>
      <c r="CF39" s="20"/>
      <c r="DB39" s="4"/>
    </row>
    <row r="40" spans="1:106">
      <c r="A40" s="3"/>
      <c r="C40" s="17"/>
      <c r="F40" s="27"/>
      <c r="K40" s="3" t="s">
        <v>83</v>
      </c>
      <c r="M40" s="20"/>
      <c r="N40" s="15">
        <f>AB38</f>
        <v>35299</v>
      </c>
      <c r="Q40" s="15"/>
      <c r="R40" s="32"/>
      <c r="T40" s="22"/>
      <c r="U40" s="22"/>
      <c r="V40" s="20"/>
      <c r="X40" s="3" t="s">
        <v>81</v>
      </c>
      <c r="Z40" s="20"/>
      <c r="AA40" s="20"/>
      <c r="AB40" s="31"/>
      <c r="AD40" s="3" t="s">
        <v>83</v>
      </c>
      <c r="AF40" s="20"/>
      <c r="AG40" s="15">
        <f>AN38</f>
        <v>102342</v>
      </c>
      <c r="AH40" s="15"/>
      <c r="AI40" s="20"/>
      <c r="AM40" s="20"/>
      <c r="AP40" s="3" t="s">
        <v>83</v>
      </c>
      <c r="AR40" s="20"/>
      <c r="AS40" s="15">
        <f>BE38</f>
        <v>249153</v>
      </c>
      <c r="AU40" s="15"/>
      <c r="AW40" s="15"/>
      <c r="AY40" s="20"/>
      <c r="AZ40" s="20"/>
      <c r="BA40" s="33"/>
      <c r="BB40" s="20"/>
      <c r="BC40" s="20"/>
      <c r="BD40" s="20"/>
      <c r="BF40" s="20"/>
      <c r="BG40" s="3" t="s">
        <v>83</v>
      </c>
      <c r="BJ40" s="15">
        <f>BT38</f>
        <v>662510</v>
      </c>
      <c r="BK40" s="15"/>
      <c r="BP40" s="20"/>
      <c r="BS40" s="20"/>
      <c r="BT40" s="20"/>
      <c r="BU40" s="20"/>
      <c r="BV40" s="3" t="s">
        <v>83</v>
      </c>
      <c r="BY40" s="15">
        <f>CG38</f>
        <v>107838</v>
      </c>
      <c r="BZ40" s="15"/>
      <c r="CA40" s="20"/>
      <c r="CF40" s="20"/>
      <c r="CG40" s="20"/>
      <c r="DB40" s="4">
        <f>$J23</f>
        <v>10</v>
      </c>
    </row>
    <row r="41" spans="1:106" ht="13.8" thickBot="1">
      <c r="A41" s="3" t="s">
        <v>82</v>
      </c>
      <c r="C41" s="17">
        <f>+'Gas Input Table Summary'!D27</f>
        <v>7.5999999999999998E-2</v>
      </c>
      <c r="E41" s="59" t="s">
        <v>88</v>
      </c>
      <c r="F41" s="60" t="s">
        <v>89</v>
      </c>
      <c r="G41" s="61" t="s">
        <v>90</v>
      </c>
      <c r="K41" s="3" t="s">
        <v>84</v>
      </c>
      <c r="N41" s="133">
        <f>ROUND(V38/AA38,2)</f>
        <v>1.19</v>
      </c>
      <c r="Q41" s="22"/>
      <c r="R41" s="32"/>
      <c r="AB41" s="31"/>
      <c r="AD41" s="3" t="s">
        <v>84</v>
      </c>
      <c r="AF41" s="22"/>
      <c r="AG41" s="53">
        <f>ROUND(AH38/AL38,2)</f>
        <v>1.89</v>
      </c>
      <c r="AH41" s="22"/>
      <c r="AP41" s="3" t="s">
        <v>84</v>
      </c>
      <c r="AR41" s="22"/>
      <c r="AS41" s="53">
        <f>ROUND(AZ38/BD38,2)</f>
        <v>2.29</v>
      </c>
      <c r="AU41" s="22"/>
      <c r="AW41" s="22"/>
      <c r="AZ41" s="2"/>
      <c r="BD41" s="20"/>
      <c r="BG41" s="3" t="s">
        <v>84</v>
      </c>
      <c r="BJ41" s="53">
        <f>ROUND(BP38/BR38,20)</f>
        <v>4.5658693592835</v>
      </c>
      <c r="BK41" s="22"/>
      <c r="BV41" s="3" t="s">
        <v>84</v>
      </c>
      <c r="BY41" s="53">
        <f>ROUND(CA38/CE38,2)</f>
        <v>1.56</v>
      </c>
      <c r="BZ41" s="22"/>
      <c r="DB41" s="4">
        <f>$J24</f>
        <v>11</v>
      </c>
    </row>
    <row r="42" spans="1:106" ht="13.8" thickTop="1">
      <c r="E42" s="177" t="s">
        <v>5</v>
      </c>
      <c r="F42" s="178">
        <f>N40</f>
        <v>35299</v>
      </c>
      <c r="G42" s="179">
        <f>N41</f>
        <v>1.19</v>
      </c>
      <c r="J42" s="103"/>
      <c r="K42" s="104"/>
      <c r="L42" s="103"/>
      <c r="M42" s="103"/>
      <c r="N42" s="103"/>
      <c r="O42" s="103"/>
      <c r="Q42" s="103"/>
      <c r="R42" s="105"/>
      <c r="S42" s="103"/>
      <c r="T42" s="103"/>
      <c r="U42" s="103"/>
      <c r="V42" s="103"/>
      <c r="W42" s="103"/>
      <c r="X42" s="103"/>
      <c r="AB42" s="31"/>
      <c r="AD42" s="3"/>
      <c r="AM42" s="34"/>
      <c r="AN42" s="3"/>
      <c r="AP42" s="3"/>
      <c r="AZ42" s="2"/>
      <c r="BB42" s="34"/>
      <c r="BE42" s="3"/>
      <c r="BG42" s="8"/>
      <c r="BV42" s="8"/>
      <c r="DB42" s="4">
        <f>$J25</f>
        <v>12</v>
      </c>
    </row>
    <row r="43" spans="1:106">
      <c r="A43" s="2" t="s">
        <v>85</v>
      </c>
      <c r="C43" s="17">
        <f>+'Gas Input Table Summary'!D28</f>
        <v>3.56E-2</v>
      </c>
      <c r="E43" s="57" t="s">
        <v>6</v>
      </c>
      <c r="F43" s="30">
        <f>AG40</f>
        <v>102342</v>
      </c>
      <c r="G43" s="176">
        <f>AG41</f>
        <v>1.89</v>
      </c>
      <c r="J43" s="106"/>
      <c r="K43" s="106"/>
      <c r="L43" s="107"/>
      <c r="M43" s="107"/>
      <c r="N43" s="107"/>
      <c r="O43" s="107"/>
      <c r="Q43" s="107"/>
      <c r="R43" s="107"/>
      <c r="S43" s="107"/>
      <c r="T43" s="107"/>
      <c r="U43" s="107"/>
      <c r="V43" s="107"/>
      <c r="W43" s="107"/>
      <c r="X43" s="107"/>
      <c r="AB43" s="31"/>
      <c r="AZ43" s="2"/>
      <c r="BD43" s="8"/>
      <c r="BG43" s="76" t="s">
        <v>124</v>
      </c>
      <c r="BH43" s="77"/>
      <c r="BI43" s="90"/>
      <c r="BJ43" s="90"/>
      <c r="BK43" s="91"/>
      <c r="BL43" s="91"/>
      <c r="BM43" s="91"/>
      <c r="BN43" s="91"/>
      <c r="BV43" s="76" t="s">
        <v>124</v>
      </c>
      <c r="BW43" s="77"/>
      <c r="BX43" s="90"/>
      <c r="BY43" s="90"/>
      <c r="BZ43" s="91"/>
      <c r="CI43" s="25"/>
      <c r="DB43" s="4">
        <f>$J26</f>
        <v>13</v>
      </c>
    </row>
    <row r="44" spans="1:106">
      <c r="E44" s="58" t="s">
        <v>7</v>
      </c>
      <c r="F44" s="30">
        <f>AS40</f>
        <v>249153</v>
      </c>
      <c r="G44" s="176">
        <f>AS41</f>
        <v>2.29</v>
      </c>
      <c r="J44" s="76" t="s">
        <v>124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8"/>
      <c r="AB44" s="31"/>
      <c r="AD44" s="76" t="s">
        <v>124</v>
      </c>
      <c r="AE44" s="77"/>
      <c r="AF44" s="90"/>
      <c r="AG44" s="90"/>
      <c r="AH44" s="91"/>
      <c r="AI44" s="91"/>
      <c r="AJ44" s="91"/>
      <c r="AK44" s="91"/>
      <c r="AN44" s="3"/>
      <c r="AP44" s="76" t="s">
        <v>124</v>
      </c>
      <c r="AQ44" s="77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1"/>
      <c r="BG44" s="121" t="s">
        <v>48</v>
      </c>
      <c r="BH44" s="93" t="s">
        <v>156</v>
      </c>
      <c r="BI44" s="94"/>
      <c r="BJ44" s="94"/>
      <c r="BK44" s="94"/>
      <c r="BL44" s="94"/>
      <c r="BM44" s="94"/>
      <c r="BN44" s="96"/>
      <c r="BO44" s="129"/>
      <c r="BP44" s="129" t="s">
        <v>81</v>
      </c>
      <c r="BQ44" s="129"/>
      <c r="BR44" s="129"/>
      <c r="BV44" s="121" t="s">
        <v>48</v>
      </c>
      <c r="BW44" s="171" t="s">
        <v>162</v>
      </c>
      <c r="BX44" s="94"/>
      <c r="BY44" s="94"/>
      <c r="BZ44" s="96"/>
      <c r="CA44" s="129" t="s">
        <v>81</v>
      </c>
      <c r="CB44" s="129"/>
      <c r="CC44" s="129"/>
      <c r="CD44" s="129"/>
      <c r="CE44" s="129"/>
      <c r="CI44" s="25"/>
      <c r="DB44" s="4"/>
    </row>
    <row r="45" spans="1:106">
      <c r="A45" s="3" t="s">
        <v>86</v>
      </c>
      <c r="C45" s="192">
        <f>+'Gas Input Table Summary'!D29</f>
        <v>2014</v>
      </c>
      <c r="E45" s="57" t="s">
        <v>8</v>
      </c>
      <c r="F45" s="30">
        <f>BJ40</f>
        <v>662510</v>
      </c>
      <c r="G45" s="176">
        <f>BJ41</f>
        <v>4.5658693592835</v>
      </c>
      <c r="J45" s="92" t="s">
        <v>48</v>
      </c>
      <c r="K45" s="93" t="s">
        <v>121</v>
      </c>
      <c r="L45" s="94"/>
      <c r="M45" s="94"/>
      <c r="N45" s="94"/>
      <c r="O45" s="94"/>
      <c r="P45" s="94"/>
      <c r="Q45" s="94"/>
      <c r="R45" s="94"/>
      <c r="S45" s="94"/>
      <c r="T45" s="95" t="s">
        <v>56</v>
      </c>
      <c r="U45" s="93" t="s">
        <v>142</v>
      </c>
      <c r="V45" s="94"/>
      <c r="W45" s="94"/>
      <c r="X45" s="96"/>
      <c r="AB45" s="6"/>
      <c r="AD45" s="92" t="s">
        <v>48</v>
      </c>
      <c r="AE45" s="93" t="s">
        <v>162</v>
      </c>
      <c r="AF45" s="94"/>
      <c r="AG45" s="94"/>
      <c r="AH45" s="94"/>
      <c r="AI45" s="94"/>
      <c r="AJ45" s="94"/>
      <c r="AK45" s="96"/>
      <c r="AN45" s="3"/>
      <c r="AP45" s="118" t="s">
        <v>48</v>
      </c>
      <c r="AQ45" s="93" t="s">
        <v>162</v>
      </c>
      <c r="AR45" s="94"/>
      <c r="AS45" s="94"/>
      <c r="AU45" s="94"/>
      <c r="AW45" s="81" t="s">
        <v>55</v>
      </c>
      <c r="AZ45" s="110" t="s">
        <v>152</v>
      </c>
      <c r="BA45" s="12"/>
      <c r="BC45" s="12"/>
      <c r="BD45" s="94"/>
      <c r="BE45" s="96"/>
      <c r="BG45" s="122" t="s">
        <v>49</v>
      </c>
      <c r="BH45" s="80" t="s">
        <v>125</v>
      </c>
      <c r="BI45" s="12"/>
      <c r="BJ45" s="12"/>
      <c r="BK45" s="12"/>
      <c r="BL45" s="12"/>
      <c r="BM45" s="12"/>
      <c r="BN45" s="82"/>
      <c r="BV45" s="122" t="s">
        <v>49</v>
      </c>
      <c r="BW45" s="172" t="s">
        <v>163</v>
      </c>
      <c r="BX45" s="12"/>
      <c r="BY45" s="12"/>
      <c r="BZ45" s="82"/>
      <c r="CI45" s="25"/>
      <c r="DB45" s="4"/>
    </row>
    <row r="46" spans="1:106">
      <c r="C46" s="8"/>
      <c r="E46" s="180" t="s">
        <v>216</v>
      </c>
      <c r="F46" s="181">
        <f>BY40</f>
        <v>107838</v>
      </c>
      <c r="G46" s="182">
        <f>BY41</f>
        <v>1.56</v>
      </c>
      <c r="J46" s="79" t="s">
        <v>49</v>
      </c>
      <c r="K46" s="80" t="s">
        <v>139</v>
      </c>
      <c r="L46" s="12"/>
      <c r="M46" s="12"/>
      <c r="N46" s="12"/>
      <c r="O46" s="12"/>
      <c r="P46" s="12"/>
      <c r="Q46" s="12"/>
      <c r="R46" s="12"/>
      <c r="S46" s="12"/>
      <c r="T46" s="81" t="s">
        <v>57</v>
      </c>
      <c r="U46" s="80" t="s">
        <v>143</v>
      </c>
      <c r="V46" s="12"/>
      <c r="W46" s="12"/>
      <c r="X46" s="82"/>
      <c r="AB46" s="15"/>
      <c r="AD46" s="79" t="s">
        <v>49</v>
      </c>
      <c r="AE46" s="83" t="s">
        <v>163</v>
      </c>
      <c r="AF46" s="12"/>
      <c r="AG46" s="12"/>
      <c r="AH46" s="12"/>
      <c r="AI46" s="12"/>
      <c r="AJ46" s="12"/>
      <c r="AK46" s="82"/>
      <c r="AP46" s="119" t="s">
        <v>54</v>
      </c>
      <c r="AQ46" s="80" t="s">
        <v>163</v>
      </c>
      <c r="AR46" s="12"/>
      <c r="AS46" s="12"/>
      <c r="AU46" s="12"/>
      <c r="AW46" s="81" t="s">
        <v>56</v>
      </c>
      <c r="AZ46" s="83" t="s">
        <v>153</v>
      </c>
      <c r="BA46" s="12"/>
      <c r="BC46" s="12"/>
      <c r="BD46" s="12"/>
      <c r="BE46" s="82"/>
      <c r="BG46" s="122" t="s">
        <v>50</v>
      </c>
      <c r="BH46" s="98" t="s">
        <v>129</v>
      </c>
      <c r="BI46" s="99"/>
      <c r="BJ46" s="99"/>
      <c r="BK46" s="12"/>
      <c r="BL46" s="99"/>
      <c r="BM46" s="81"/>
      <c r="BN46" s="131"/>
      <c r="BV46" s="122" t="s">
        <v>50</v>
      </c>
      <c r="BW46" s="172" t="s">
        <v>218</v>
      </c>
      <c r="BX46" s="99"/>
      <c r="BY46" s="99"/>
      <c r="BZ46" s="82"/>
      <c r="CI46" s="25"/>
      <c r="DB46" s="4"/>
    </row>
    <row r="47" spans="1:106">
      <c r="A47" s="3" t="s">
        <v>87</v>
      </c>
      <c r="C47" s="192">
        <f>+'Gas Input Table Summary'!D30</f>
        <v>2015</v>
      </c>
      <c r="J47" s="79" t="s">
        <v>50</v>
      </c>
      <c r="K47" s="83" t="s">
        <v>120</v>
      </c>
      <c r="L47" s="12"/>
      <c r="M47" s="12"/>
      <c r="N47" s="12"/>
      <c r="O47" s="12"/>
      <c r="P47" s="12"/>
      <c r="Q47" s="12"/>
      <c r="R47" s="12"/>
      <c r="S47" s="12"/>
      <c r="T47" s="81" t="s">
        <v>58</v>
      </c>
      <c r="U47" s="80" t="s">
        <v>159</v>
      </c>
      <c r="V47" s="12"/>
      <c r="W47" s="12"/>
      <c r="X47" s="82"/>
      <c r="AB47" s="20"/>
      <c r="AD47" s="79" t="s">
        <v>50</v>
      </c>
      <c r="AE47" s="83" t="s">
        <v>164</v>
      </c>
      <c r="AF47" s="12"/>
      <c r="AG47" s="12"/>
      <c r="AH47" s="12"/>
      <c r="AI47" s="12"/>
      <c r="AJ47" s="12"/>
      <c r="AK47" s="82"/>
      <c r="AP47" s="119" t="s">
        <v>50</v>
      </c>
      <c r="AQ47" s="100" t="s">
        <v>199</v>
      </c>
      <c r="AR47" s="99"/>
      <c r="AS47" s="99"/>
      <c r="AU47" s="99"/>
      <c r="AW47" s="81" t="s">
        <v>57</v>
      </c>
      <c r="AZ47" s="83" t="s">
        <v>154</v>
      </c>
      <c r="BA47" s="12"/>
      <c r="BC47" s="12"/>
      <c r="BD47" s="12"/>
      <c r="BE47" s="82"/>
      <c r="BG47" s="122" t="s">
        <v>51</v>
      </c>
      <c r="BH47" s="100" t="s">
        <v>130</v>
      </c>
      <c r="BI47" s="99"/>
      <c r="BJ47" s="99"/>
      <c r="BK47" s="12"/>
      <c r="BL47" s="99"/>
      <c r="BM47" s="81"/>
      <c r="BN47" s="131"/>
      <c r="BV47" s="122" t="s">
        <v>51</v>
      </c>
      <c r="BW47" s="172" t="s">
        <v>127</v>
      </c>
      <c r="BX47" s="99"/>
      <c r="BY47" s="99"/>
      <c r="BZ47" s="82"/>
      <c r="CI47" s="25"/>
      <c r="DB47" s="4"/>
    </row>
    <row r="48" spans="1:106">
      <c r="A48" s="185"/>
      <c r="C48" s="192"/>
      <c r="J48" s="79" t="s">
        <v>51</v>
      </c>
      <c r="K48" s="80" t="s">
        <v>138</v>
      </c>
      <c r="L48" s="12"/>
      <c r="M48" s="12"/>
      <c r="N48" s="12"/>
      <c r="O48" s="12"/>
      <c r="P48" s="12"/>
      <c r="Q48" s="12"/>
      <c r="R48" s="12"/>
      <c r="S48" s="12"/>
      <c r="T48" s="81" t="s">
        <v>59</v>
      </c>
      <c r="U48" s="23" t="s">
        <v>160</v>
      </c>
      <c r="V48" s="12"/>
      <c r="W48" s="12"/>
      <c r="X48" s="82"/>
      <c r="AB48" s="20"/>
      <c r="AD48" s="79" t="s">
        <v>51</v>
      </c>
      <c r="AE48" s="80" t="s">
        <v>126</v>
      </c>
      <c r="AF48" s="12"/>
      <c r="AG48" s="12"/>
      <c r="AH48" s="12"/>
      <c r="AI48" s="12"/>
      <c r="AJ48" s="12"/>
      <c r="AK48" s="82"/>
      <c r="AO48" s="3"/>
      <c r="AP48" s="119" t="s">
        <v>51</v>
      </c>
      <c r="AQ48" s="100" t="s">
        <v>151</v>
      </c>
      <c r="AR48" s="99"/>
      <c r="AS48" s="99"/>
      <c r="AU48" s="99"/>
      <c r="AW48" s="81" t="s">
        <v>58</v>
      </c>
      <c r="AZ48" s="83" t="s">
        <v>155</v>
      </c>
      <c r="BA48" s="12"/>
      <c r="BC48" s="12"/>
      <c r="BD48" s="12"/>
      <c r="BE48" s="82"/>
      <c r="BG48" s="122" t="s">
        <v>52</v>
      </c>
      <c r="BH48" s="100" t="s">
        <v>165</v>
      </c>
      <c r="BI48" s="99"/>
      <c r="BJ48" s="99"/>
      <c r="BK48" s="12"/>
      <c r="BL48" s="99"/>
      <c r="BM48" s="99"/>
      <c r="BN48" s="82"/>
      <c r="BO48" s="12"/>
      <c r="BP48" s="12"/>
      <c r="BQ48" s="12"/>
      <c r="BR48" s="12"/>
      <c r="BV48" s="122" t="s">
        <v>52</v>
      </c>
      <c r="BW48" s="172" t="s">
        <v>222</v>
      </c>
      <c r="BX48" s="99"/>
      <c r="BY48" s="99"/>
      <c r="BZ48" s="82"/>
      <c r="CA48" s="12"/>
      <c r="CB48" s="12"/>
      <c r="CC48" s="12"/>
      <c r="CD48" s="12"/>
      <c r="CE48" s="12"/>
      <c r="CI48" s="25"/>
      <c r="DB48" s="4"/>
    </row>
    <row r="49" spans="1:108">
      <c r="A49" s="185"/>
      <c r="C49" s="192"/>
      <c r="J49" s="79" t="s">
        <v>52</v>
      </c>
      <c r="K49" s="83" t="s">
        <v>140</v>
      </c>
      <c r="L49" s="12"/>
      <c r="M49" s="12"/>
      <c r="N49" s="12"/>
      <c r="O49" s="70"/>
      <c r="P49" s="12"/>
      <c r="Q49" s="12"/>
      <c r="R49" s="12"/>
      <c r="S49" s="12"/>
      <c r="T49" s="81" t="s">
        <v>60</v>
      </c>
      <c r="U49" s="80" t="s">
        <v>146</v>
      </c>
      <c r="V49" s="12"/>
      <c r="W49" s="12"/>
      <c r="X49" s="82"/>
      <c r="AD49" s="79" t="s">
        <v>52</v>
      </c>
      <c r="AE49" s="80" t="s">
        <v>156</v>
      </c>
      <c r="AF49" s="12"/>
      <c r="AG49" s="12"/>
      <c r="AH49" s="12"/>
      <c r="AI49" s="12"/>
      <c r="AJ49" s="12"/>
      <c r="AK49" s="82"/>
      <c r="AP49" s="119" t="s">
        <v>52</v>
      </c>
      <c r="AQ49" s="100" t="s">
        <v>134</v>
      </c>
      <c r="AR49" s="99"/>
      <c r="AS49" s="99"/>
      <c r="AU49" s="99"/>
      <c r="AW49" s="81"/>
      <c r="AZ49" s="2"/>
      <c r="BA49" s="12"/>
      <c r="BC49" s="12"/>
      <c r="BD49" s="12"/>
      <c r="BE49" s="82"/>
      <c r="BG49" s="122" t="s">
        <v>53</v>
      </c>
      <c r="BH49" s="173" t="s">
        <v>365</v>
      </c>
      <c r="BI49" s="99"/>
      <c r="BJ49" s="99"/>
      <c r="BK49" s="12"/>
      <c r="BL49" s="99"/>
      <c r="BM49" s="81"/>
      <c r="BN49" s="82"/>
      <c r="BO49" s="12"/>
      <c r="BP49" s="12"/>
      <c r="BQ49" s="12"/>
      <c r="BR49" s="12"/>
      <c r="BV49" s="122" t="s">
        <v>53</v>
      </c>
      <c r="BW49" s="172" t="s">
        <v>223</v>
      </c>
      <c r="BX49" s="99"/>
      <c r="BY49" s="99"/>
      <c r="BZ49" s="82"/>
      <c r="CA49" s="12"/>
      <c r="CB49" s="12"/>
      <c r="CC49" s="12"/>
      <c r="CD49" s="12"/>
      <c r="CE49" s="12"/>
      <c r="DB49" s="4">
        <f>$J27</f>
        <v>14</v>
      </c>
    </row>
    <row r="50" spans="1:108">
      <c r="J50" s="79" t="s">
        <v>53</v>
      </c>
      <c r="K50" s="80" t="s">
        <v>141</v>
      </c>
      <c r="L50" s="12"/>
      <c r="M50" s="12"/>
      <c r="N50" s="12"/>
      <c r="O50" s="12"/>
      <c r="P50" s="12"/>
      <c r="Q50" s="12"/>
      <c r="R50" s="12"/>
      <c r="S50" s="12"/>
      <c r="T50" s="81" t="s">
        <v>61</v>
      </c>
      <c r="U50" s="83" t="s">
        <v>128</v>
      </c>
      <c r="V50" s="12"/>
      <c r="W50" s="12"/>
      <c r="X50" s="82"/>
      <c r="AD50" s="79" t="s">
        <v>53</v>
      </c>
      <c r="AE50" s="83" t="s">
        <v>148</v>
      </c>
      <c r="AF50" s="12"/>
      <c r="AG50" s="12"/>
      <c r="AH50" s="12"/>
      <c r="AI50" s="12"/>
      <c r="AJ50" s="12"/>
      <c r="AK50" s="82"/>
      <c r="AP50" s="119" t="s">
        <v>53</v>
      </c>
      <c r="AQ50" s="80" t="s">
        <v>135</v>
      </c>
      <c r="AR50" s="12"/>
      <c r="AS50" s="12"/>
      <c r="AU50" s="12"/>
      <c r="AW50" s="81"/>
      <c r="AZ50" s="2"/>
      <c r="BA50" s="12"/>
      <c r="BC50" s="12"/>
      <c r="BD50" s="12"/>
      <c r="BE50" s="82"/>
      <c r="BG50" s="122" t="s">
        <v>54</v>
      </c>
      <c r="BH50" s="100" t="s">
        <v>157</v>
      </c>
      <c r="BI50" s="99"/>
      <c r="BJ50" s="99"/>
      <c r="BK50" s="12"/>
      <c r="BL50" s="99"/>
      <c r="BM50" s="81"/>
      <c r="BN50" s="82"/>
      <c r="BO50" s="12"/>
      <c r="BP50" s="12"/>
      <c r="BQ50" s="12"/>
      <c r="BR50" s="12"/>
      <c r="BV50" s="122" t="s">
        <v>54</v>
      </c>
      <c r="BW50" s="173" t="s">
        <v>219</v>
      </c>
      <c r="BX50" s="99"/>
      <c r="BY50" s="99"/>
      <c r="BZ50" s="82"/>
      <c r="CA50" s="12"/>
      <c r="CB50" s="12"/>
      <c r="CC50" s="12"/>
      <c r="CD50" s="12"/>
      <c r="CE50" s="12"/>
      <c r="DB50" s="4">
        <f>$J28</f>
        <v>15</v>
      </c>
    </row>
    <row r="51" spans="1:108" ht="14.1" customHeight="1">
      <c r="A51" s="212"/>
      <c r="B51" s="12"/>
      <c r="C51" s="12"/>
      <c r="J51" s="79" t="s">
        <v>54</v>
      </c>
      <c r="K51" s="80" t="s">
        <v>122</v>
      </c>
      <c r="L51" s="12"/>
      <c r="M51" s="12"/>
      <c r="N51" s="12"/>
      <c r="O51" s="12"/>
      <c r="P51" s="12"/>
      <c r="Q51" s="12"/>
      <c r="R51" s="12"/>
      <c r="S51" s="12"/>
      <c r="T51" s="81" t="s">
        <v>137</v>
      </c>
      <c r="U51" s="83" t="s">
        <v>161</v>
      </c>
      <c r="V51" s="12"/>
      <c r="W51" s="12"/>
      <c r="X51" s="82"/>
      <c r="AD51" s="84" t="s">
        <v>54</v>
      </c>
      <c r="AE51" s="97" t="s">
        <v>149</v>
      </c>
      <c r="AF51" s="13"/>
      <c r="AG51" s="13"/>
      <c r="AH51" s="13"/>
      <c r="AI51" s="13"/>
      <c r="AJ51" s="13"/>
      <c r="AK51" s="87"/>
      <c r="AP51" s="120" t="s">
        <v>54</v>
      </c>
      <c r="AQ51" s="117" t="s">
        <v>150</v>
      </c>
      <c r="AR51" s="13"/>
      <c r="AS51" s="13"/>
      <c r="AT51" s="13"/>
      <c r="AU51" s="13"/>
      <c r="AV51" s="13"/>
      <c r="AW51" s="86"/>
      <c r="AX51" s="86"/>
      <c r="AY51" s="86"/>
      <c r="AZ51" s="86"/>
      <c r="BA51" s="13"/>
      <c r="BB51" s="13"/>
      <c r="BC51" s="13"/>
      <c r="BD51" s="13"/>
      <c r="BE51" s="87"/>
      <c r="BG51" s="122" t="s">
        <v>55</v>
      </c>
      <c r="BH51" s="98" t="s">
        <v>166</v>
      </c>
      <c r="BI51" s="12"/>
      <c r="BJ51" s="12"/>
      <c r="BK51" s="12"/>
      <c r="BL51" s="12"/>
      <c r="BM51" s="12"/>
      <c r="BN51" s="82"/>
      <c r="BO51" s="12"/>
      <c r="BP51" s="12"/>
      <c r="BQ51" s="12"/>
      <c r="BR51" s="12"/>
      <c r="BV51" s="122" t="s">
        <v>55</v>
      </c>
      <c r="BW51" s="174" t="s">
        <v>220</v>
      </c>
      <c r="BX51" s="12"/>
      <c r="BY51" s="12"/>
      <c r="BZ51" s="82"/>
      <c r="CA51" s="12"/>
      <c r="CB51" s="12"/>
      <c r="CC51" s="12"/>
      <c r="CD51" s="12"/>
      <c r="CE51" s="12"/>
      <c r="DB51" s="4">
        <f>$J29</f>
        <v>16</v>
      </c>
    </row>
    <row r="52" spans="1:108" ht="14.1" customHeight="1">
      <c r="A52" s="40"/>
      <c r="B52" s="12"/>
      <c r="C52" s="39"/>
      <c r="J52" s="132" t="s">
        <v>55</v>
      </c>
      <c r="K52" s="85" t="s">
        <v>123</v>
      </c>
      <c r="L52" s="13"/>
      <c r="M52" s="13"/>
      <c r="N52" s="13"/>
      <c r="O52" s="13"/>
      <c r="P52" s="13"/>
      <c r="Q52" s="13"/>
      <c r="R52" s="13"/>
      <c r="S52" s="13"/>
      <c r="T52" s="86" t="s">
        <v>145</v>
      </c>
      <c r="U52" s="85" t="s">
        <v>147</v>
      </c>
      <c r="V52" s="13"/>
      <c r="W52" s="13"/>
      <c r="X52" s="87"/>
      <c r="AD52" s="81"/>
      <c r="AE52" s="12"/>
      <c r="AF52" s="12"/>
      <c r="AG52" s="12"/>
      <c r="AH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G52" s="130" t="s">
        <v>56</v>
      </c>
      <c r="BH52" s="101" t="s">
        <v>158</v>
      </c>
      <c r="BI52" s="102"/>
      <c r="BJ52" s="102"/>
      <c r="BK52" s="102"/>
      <c r="BL52" s="102"/>
      <c r="BM52" s="13"/>
      <c r="BN52" s="87"/>
      <c r="BO52" s="12"/>
      <c r="BP52" s="12"/>
      <c r="BQ52" s="12"/>
      <c r="BR52" s="12"/>
      <c r="BV52" s="130"/>
      <c r="BW52" s="13"/>
      <c r="BX52" s="102"/>
      <c r="BY52" s="102"/>
      <c r="BZ52" s="175"/>
      <c r="CA52" s="12"/>
      <c r="CB52" s="12"/>
      <c r="CC52" s="12"/>
      <c r="CD52" s="12"/>
      <c r="CE52" s="12"/>
      <c r="CL52" s="22"/>
      <c r="DB52" s="20"/>
    </row>
    <row r="53" spans="1:108" ht="14.1" customHeight="1">
      <c r="A53" s="12"/>
      <c r="B53" s="12"/>
      <c r="C53" s="40"/>
      <c r="K53" s="65"/>
      <c r="N53" s="2"/>
      <c r="R53" s="3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CL53" s="15"/>
      <c r="DD53" s="20"/>
    </row>
    <row r="54" spans="1:108" ht="14.1" customHeight="1">
      <c r="C54" s="29"/>
      <c r="K54" s="65"/>
      <c r="N54" s="2"/>
      <c r="R54" s="32"/>
      <c r="AB54" s="20"/>
      <c r="AP54" s="8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G54" s="139"/>
      <c r="BH54" s="12"/>
      <c r="BI54" s="99"/>
      <c r="BJ54" s="99"/>
      <c r="BK54" s="99"/>
      <c r="BL54" s="99"/>
      <c r="BM54" s="12"/>
      <c r="BN54" s="12"/>
      <c r="BV54" s="139"/>
      <c r="BW54" s="12"/>
      <c r="BX54" s="99"/>
      <c r="BY54" s="99"/>
      <c r="BZ54" s="99"/>
    </row>
    <row r="55" spans="1:108" ht="14.1" customHeight="1">
      <c r="C55" s="29"/>
      <c r="K55" s="65"/>
      <c r="N55" s="2"/>
      <c r="R55" s="32"/>
      <c r="AP55" s="116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H55" s="8"/>
      <c r="BW55" s="8"/>
    </row>
    <row r="56" spans="1:108">
      <c r="C56" s="21"/>
      <c r="N56" s="2"/>
      <c r="Q56" s="32"/>
      <c r="AO56" s="40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G56" s="8"/>
      <c r="BV56" s="8"/>
    </row>
    <row r="57" spans="1:108">
      <c r="C57" s="42"/>
      <c r="N57" s="2"/>
      <c r="Q57" s="3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G57" s="8"/>
      <c r="BV57" s="8"/>
    </row>
    <row r="58" spans="1:108">
      <c r="C58" s="42"/>
      <c r="N58" s="2"/>
      <c r="Q58" s="32"/>
      <c r="AZ58" s="2"/>
      <c r="BG58" s="8"/>
      <c r="BV58" s="8"/>
    </row>
    <row r="59" spans="1:108">
      <c r="C59" s="43"/>
      <c r="N59" s="2"/>
      <c r="Q59" s="32"/>
      <c r="AZ59" s="2"/>
      <c r="BG59" s="8"/>
      <c r="BV59" s="8"/>
    </row>
    <row r="60" spans="1:108">
      <c r="N60" s="2"/>
      <c r="Q60" s="32"/>
      <c r="AZ60" s="2"/>
      <c r="BG60" s="8"/>
      <c r="BV60" s="8"/>
    </row>
    <row r="61" spans="1:108">
      <c r="N61" s="2"/>
      <c r="Q61" s="32"/>
      <c r="AZ61" s="2"/>
      <c r="BG61" s="8"/>
      <c r="BV61" s="8"/>
    </row>
    <row r="62" spans="1:108" ht="12" customHeight="1">
      <c r="N62" s="2"/>
      <c r="Q62" s="32"/>
      <c r="AZ62" s="2"/>
      <c r="BG62" s="8"/>
      <c r="BV62" s="8"/>
    </row>
    <row r="63" spans="1:108">
      <c r="D63" s="12"/>
      <c r="E63" s="12"/>
      <c r="F63" s="41"/>
      <c r="G63" s="41"/>
      <c r="N63" s="2"/>
      <c r="Q63" s="32"/>
      <c r="AZ63" s="2"/>
      <c r="BG63" s="8"/>
      <c r="BV63" s="8"/>
    </row>
    <row r="64" spans="1:108">
      <c r="D64" s="12"/>
      <c r="E64" s="12"/>
      <c r="F64" s="41"/>
      <c r="G64" s="41"/>
      <c r="N64" s="2"/>
      <c r="Q64" s="32"/>
      <c r="AZ64" s="2"/>
      <c r="BG64" s="8"/>
      <c r="BV64" s="8"/>
    </row>
    <row r="65" spans="1:74">
      <c r="C65" s="15"/>
      <c r="D65" s="12"/>
      <c r="E65" s="12"/>
      <c r="F65" s="12"/>
      <c r="G65" s="12"/>
      <c r="N65" s="2"/>
      <c r="Q65" s="32"/>
      <c r="AZ65" s="2"/>
      <c r="BG65" s="8"/>
      <c r="BV65" s="8"/>
    </row>
    <row r="66" spans="1:74">
      <c r="A66" s="44"/>
      <c r="B66" s="3"/>
      <c r="D66" s="12"/>
      <c r="E66" s="12"/>
      <c r="F66" s="12"/>
      <c r="G66" s="12"/>
      <c r="N66" s="2"/>
      <c r="Q66" s="32"/>
      <c r="AZ66" s="2"/>
      <c r="BG66" s="8"/>
      <c r="BV66" s="8"/>
    </row>
    <row r="67" spans="1:74">
      <c r="A67" s="44"/>
      <c r="B67" s="3"/>
      <c r="D67" s="12"/>
      <c r="E67" s="12"/>
      <c r="F67" s="12"/>
      <c r="G67" s="12"/>
      <c r="N67" s="2"/>
      <c r="Q67" s="32"/>
      <c r="AZ67" s="2"/>
      <c r="BG67" s="8"/>
      <c r="BV67" s="8"/>
    </row>
    <row r="68" spans="1:74">
      <c r="N68" s="2"/>
      <c r="Q68" s="32"/>
      <c r="AZ68" s="2"/>
      <c r="BG68" s="8"/>
      <c r="BV68" s="8"/>
    </row>
    <row r="69" spans="1:74">
      <c r="N69" s="2"/>
      <c r="Q69" s="32"/>
      <c r="AZ69" s="2"/>
      <c r="BG69" s="8"/>
      <c r="BV69" s="8"/>
    </row>
    <row r="70" spans="1:74">
      <c r="N70" s="2"/>
      <c r="Q70" s="32"/>
      <c r="AZ70" s="2"/>
      <c r="BG70" s="8"/>
      <c r="BV70" s="8"/>
    </row>
    <row r="71" spans="1:74">
      <c r="N71" s="2"/>
      <c r="Q71" s="32"/>
      <c r="AZ71" s="2"/>
      <c r="BG71" s="8"/>
      <c r="BV71" s="8"/>
    </row>
    <row r="72" spans="1:74">
      <c r="N72" s="2"/>
      <c r="Q72" s="32"/>
      <c r="AZ72" s="2"/>
      <c r="BG72" s="8"/>
      <c r="BV72" s="8"/>
    </row>
    <row r="73" spans="1:74">
      <c r="N73" s="2"/>
      <c r="Q73" s="32"/>
      <c r="AZ73" s="2"/>
      <c r="BG73" s="8"/>
      <c r="BV73" s="8"/>
    </row>
    <row r="74" spans="1:74">
      <c r="N74" s="2"/>
      <c r="Q74" s="32"/>
      <c r="AZ74" s="2"/>
      <c r="BG74" s="8"/>
      <c r="BV74" s="8"/>
    </row>
    <row r="75" spans="1:74">
      <c r="N75" s="2"/>
      <c r="Q75" s="32"/>
      <c r="AZ75" s="2"/>
      <c r="BG75" s="8"/>
      <c r="BV75" s="8"/>
    </row>
    <row r="76" spans="1:74">
      <c r="N76" s="2"/>
      <c r="Q76" s="32"/>
      <c r="AZ76" s="2"/>
      <c r="BG76" s="8"/>
      <c r="BV76" s="8"/>
    </row>
    <row r="77" spans="1:74">
      <c r="N77" s="2"/>
      <c r="Q77" s="32"/>
      <c r="AZ77" s="2"/>
      <c r="BG77" s="8"/>
      <c r="BV77" s="8"/>
    </row>
    <row r="78" spans="1:74">
      <c r="N78" s="2"/>
      <c r="Q78" s="32"/>
      <c r="AZ78" s="2"/>
      <c r="BG78" s="8"/>
      <c r="BV78" s="8"/>
    </row>
    <row r="79" spans="1:74">
      <c r="N79" s="2"/>
      <c r="Q79" s="32"/>
      <c r="AZ79" s="2"/>
      <c r="BG79" s="8"/>
      <c r="BV79" s="8"/>
    </row>
    <row r="80" spans="1:74">
      <c r="N80" s="2"/>
      <c r="Q80" s="32"/>
      <c r="AZ80" s="2"/>
      <c r="BG80" s="8"/>
      <c r="BV80" s="8"/>
    </row>
    <row r="81" spans="6:74">
      <c r="F81" s="34"/>
      <c r="G81" s="34"/>
      <c r="N81" s="2"/>
      <c r="Q81" s="32"/>
      <c r="AZ81" s="2"/>
      <c r="BG81" s="8"/>
      <c r="BV81" s="8"/>
    </row>
    <row r="82" spans="6:74">
      <c r="N82" s="2"/>
      <c r="Q82" s="32"/>
      <c r="AZ82" s="2"/>
      <c r="BG82" s="8"/>
      <c r="BV82" s="8"/>
    </row>
    <row r="83" spans="6:74">
      <c r="N83" s="2"/>
      <c r="Q83" s="32"/>
      <c r="AZ83" s="2"/>
      <c r="BG83" s="8"/>
      <c r="BV83" s="8"/>
    </row>
    <row r="84" spans="6:74">
      <c r="N84" s="2"/>
      <c r="Q84" s="32"/>
      <c r="AZ84" s="2"/>
      <c r="BG84" s="8"/>
      <c r="BV84" s="8"/>
    </row>
    <row r="85" spans="6:74">
      <c r="N85" s="2"/>
      <c r="Q85" s="32"/>
      <c r="AZ85" s="2"/>
      <c r="BG85" s="8"/>
      <c r="BV85" s="8"/>
    </row>
    <row r="86" spans="6:74">
      <c r="N86" s="2"/>
      <c r="Q86" s="32"/>
      <c r="AZ86" s="2"/>
      <c r="BG86" s="8"/>
      <c r="BV86" s="8"/>
    </row>
    <row r="87" spans="6:74">
      <c r="N87" s="2"/>
      <c r="Q87" s="32"/>
      <c r="AZ87" s="2"/>
      <c r="BG87" s="8"/>
      <c r="BV87" s="8"/>
    </row>
    <row r="88" spans="6:74">
      <c r="N88" s="2"/>
      <c r="Q88" s="32"/>
      <c r="AZ88" s="2"/>
      <c r="BG88" s="8"/>
      <c r="BV88" s="8"/>
    </row>
    <row r="89" spans="6:74">
      <c r="N89" s="2"/>
      <c r="Q89" s="32"/>
      <c r="AZ89" s="2"/>
      <c r="BG89" s="8"/>
      <c r="BV89" s="8"/>
    </row>
    <row r="90" spans="6:74">
      <c r="N90" s="2"/>
      <c r="Q90" s="32"/>
      <c r="AZ90" s="2"/>
      <c r="BG90" s="8"/>
      <c r="BV90" s="8"/>
    </row>
    <row r="91" spans="6:74">
      <c r="N91" s="2"/>
      <c r="Q91" s="32"/>
      <c r="AZ91" s="2"/>
      <c r="BG91" s="8"/>
      <c r="BV91" s="8"/>
    </row>
    <row r="92" spans="6:74">
      <c r="N92" s="2"/>
      <c r="Q92" s="32"/>
      <c r="AZ92" s="2"/>
      <c r="BG92" s="8"/>
      <c r="BV92" s="8"/>
    </row>
    <row r="93" spans="6:74">
      <c r="N93" s="2"/>
      <c r="Q93" s="32"/>
      <c r="AZ93" s="2"/>
      <c r="BG93" s="8"/>
      <c r="BV93" s="8"/>
    </row>
    <row r="94" spans="6:74">
      <c r="N94" s="2"/>
      <c r="Q94" s="32"/>
      <c r="AZ94" s="2"/>
      <c r="BG94" s="8"/>
      <c r="BV94" s="8"/>
    </row>
    <row r="95" spans="6:74">
      <c r="N95" s="2"/>
      <c r="Q95" s="32"/>
      <c r="AZ95" s="2"/>
      <c r="BG95" s="8"/>
      <c r="BV95" s="8"/>
    </row>
    <row r="96" spans="6:74">
      <c r="N96" s="2"/>
      <c r="Q96" s="32"/>
      <c r="AZ96" s="2"/>
      <c r="BG96" s="8"/>
      <c r="BV96" s="8"/>
    </row>
    <row r="97" spans="1:74">
      <c r="N97" s="2"/>
      <c r="Q97" s="32"/>
      <c r="AZ97" s="2"/>
      <c r="BG97" s="8"/>
      <c r="BV97" s="8"/>
    </row>
    <row r="98" spans="1:74">
      <c r="N98" s="2"/>
      <c r="Q98" s="32"/>
      <c r="AZ98" s="2"/>
      <c r="BG98" s="8"/>
      <c r="BV98" s="8"/>
    </row>
    <row r="99" spans="1:74">
      <c r="N99" s="2"/>
      <c r="Q99" s="32"/>
      <c r="AZ99" s="2"/>
      <c r="BG99" s="8"/>
      <c r="BV99" s="8"/>
    </row>
    <row r="100" spans="1:74">
      <c r="N100" s="2"/>
      <c r="Q100" s="32"/>
      <c r="AZ100" s="2"/>
      <c r="BG100" s="8"/>
      <c r="BV100" s="8"/>
    </row>
    <row r="101" spans="1:74">
      <c r="N101" s="2"/>
      <c r="Q101" s="32"/>
      <c r="AZ101" s="2"/>
      <c r="BG101" s="8"/>
      <c r="BV101" s="8"/>
    </row>
    <row r="102" spans="1:74">
      <c r="N102" s="2"/>
      <c r="Q102" s="32"/>
      <c r="AZ102" s="2"/>
      <c r="BG102" s="8"/>
      <c r="BV102" s="8"/>
    </row>
    <row r="103" spans="1:74">
      <c r="N103" s="2"/>
      <c r="Q103" s="32"/>
      <c r="AZ103" s="2"/>
      <c r="BG103" s="8"/>
      <c r="BV103" s="8"/>
    </row>
    <row r="104" spans="1:74">
      <c r="N104" s="2"/>
      <c r="Q104" s="32"/>
      <c r="AZ104" s="2"/>
      <c r="BG104" s="8"/>
      <c r="BV104" s="8"/>
    </row>
    <row r="105" spans="1:74">
      <c r="E105" s="45"/>
      <c r="N105" s="2"/>
      <c r="Q105" s="32"/>
      <c r="AZ105" s="2"/>
      <c r="BG105" s="8"/>
      <c r="BV105" s="8"/>
    </row>
    <row r="106" spans="1:74">
      <c r="N106" s="2"/>
      <c r="Q106" s="32"/>
      <c r="AZ106" s="2"/>
      <c r="BG106" s="8"/>
      <c r="BV106" s="8"/>
    </row>
    <row r="107" spans="1:74">
      <c r="N107" s="2"/>
      <c r="Q107" s="32"/>
      <c r="AZ107" s="2"/>
      <c r="BG107" s="8"/>
      <c r="BV107" s="8"/>
    </row>
    <row r="108" spans="1:74">
      <c r="N108" s="2"/>
      <c r="Q108" s="32"/>
      <c r="AZ108" s="2"/>
      <c r="BG108" s="8"/>
      <c r="BV108" s="8"/>
    </row>
    <row r="109" spans="1:74">
      <c r="N109" s="2"/>
      <c r="Q109" s="32"/>
      <c r="AZ109" s="2"/>
      <c r="BG109" s="8"/>
      <c r="BV109" s="8"/>
    </row>
    <row r="110" spans="1:74">
      <c r="N110" s="2"/>
      <c r="Q110" s="32"/>
      <c r="AZ110" s="2"/>
      <c r="BG110" s="8"/>
      <c r="BV110" s="8"/>
    </row>
    <row r="111" spans="1:74">
      <c r="A111" s="44"/>
      <c r="B111" s="3"/>
      <c r="N111" s="2"/>
      <c r="Q111" s="32"/>
      <c r="AZ111" s="2"/>
      <c r="BG111" s="8"/>
      <c r="BV111" s="8"/>
    </row>
    <row r="112" spans="1:74">
      <c r="N112" s="2"/>
      <c r="Q112" s="32"/>
      <c r="AZ112" s="2"/>
      <c r="BG112" s="8"/>
      <c r="BV112" s="8"/>
    </row>
    <row r="113" spans="1:74">
      <c r="N113" s="2"/>
      <c r="Q113" s="32"/>
      <c r="AZ113" s="2"/>
      <c r="BG113" s="8"/>
      <c r="BV113" s="8"/>
    </row>
    <row r="114" spans="1:74">
      <c r="N114" s="2"/>
      <c r="Q114" s="32"/>
      <c r="AZ114" s="2"/>
      <c r="BG114" s="8"/>
      <c r="BV114" s="8"/>
    </row>
    <row r="115" spans="1:74">
      <c r="N115" s="2"/>
      <c r="Q115" s="32"/>
      <c r="AZ115" s="2"/>
      <c r="BG115" s="8"/>
      <c r="BV115" s="8"/>
    </row>
    <row r="116" spans="1:74">
      <c r="N116" s="2"/>
      <c r="Q116" s="32"/>
      <c r="AZ116" s="2"/>
      <c r="BG116" s="8"/>
      <c r="BV116" s="8"/>
    </row>
    <row r="117" spans="1:74">
      <c r="N117" s="2"/>
      <c r="Q117" s="32"/>
      <c r="AZ117" s="2"/>
      <c r="BG117" s="8"/>
      <c r="BV117" s="8"/>
    </row>
    <row r="118" spans="1:74">
      <c r="N118" s="2"/>
      <c r="Q118" s="32"/>
      <c r="AZ118" s="2"/>
      <c r="BG118" s="8"/>
      <c r="BV118" s="8"/>
    </row>
    <row r="119" spans="1:74">
      <c r="N119" s="2"/>
      <c r="Q119" s="32"/>
      <c r="AZ119" s="2"/>
      <c r="BG119" s="8"/>
      <c r="BV119" s="8"/>
    </row>
    <row r="120" spans="1:74">
      <c r="N120" s="2"/>
      <c r="Q120" s="32"/>
      <c r="AZ120" s="2"/>
      <c r="BG120" s="8"/>
      <c r="BV120" s="8"/>
    </row>
    <row r="121" spans="1:74">
      <c r="N121" s="2"/>
      <c r="Q121" s="32"/>
      <c r="AZ121" s="2"/>
      <c r="BG121" s="8"/>
      <c r="BV121" s="8"/>
    </row>
    <row r="122" spans="1:74">
      <c r="N122" s="2"/>
      <c r="Q122" s="32"/>
      <c r="AZ122" s="2"/>
      <c r="BG122" s="8"/>
      <c r="BV122" s="8"/>
    </row>
    <row r="123" spans="1:74">
      <c r="N123" s="2"/>
      <c r="Q123" s="32"/>
      <c r="AZ123" s="2"/>
      <c r="BG123" s="8"/>
      <c r="BV123" s="8"/>
    </row>
    <row r="124" spans="1:74">
      <c r="N124" s="2"/>
      <c r="Q124" s="32"/>
      <c r="AZ124" s="2"/>
      <c r="BG124" s="8"/>
      <c r="BV124" s="8"/>
    </row>
    <row r="125" spans="1:74">
      <c r="N125" s="2"/>
      <c r="Q125" s="32"/>
      <c r="AZ125" s="2"/>
      <c r="BG125" s="8"/>
      <c r="BV125" s="8"/>
    </row>
    <row r="126" spans="1:74">
      <c r="N126" s="2"/>
      <c r="Q126" s="32"/>
      <c r="AZ126" s="2"/>
      <c r="BG126" s="8"/>
      <c r="BV126" s="8"/>
    </row>
    <row r="127" spans="1:74">
      <c r="N127" s="2"/>
      <c r="Q127" s="32"/>
      <c r="AZ127" s="2"/>
      <c r="BG127" s="8"/>
      <c r="BV127" s="8"/>
    </row>
    <row r="128" spans="1:74">
      <c r="A128" s="3"/>
      <c r="N128" s="2"/>
      <c r="Q128" s="32"/>
      <c r="AZ128" s="2"/>
      <c r="BG128" s="8"/>
      <c r="BV128" s="8"/>
    </row>
    <row r="129" spans="1:74">
      <c r="A129" s="3"/>
      <c r="N129" s="2"/>
      <c r="Q129" s="32"/>
      <c r="AZ129" s="2"/>
      <c r="BG129" s="8"/>
      <c r="BV129" s="8"/>
    </row>
    <row r="130" spans="1:74">
      <c r="A130" s="3"/>
      <c r="B130" s="3"/>
      <c r="N130" s="2"/>
      <c r="Q130" s="32"/>
      <c r="AZ130" s="2"/>
      <c r="BG130" s="8"/>
      <c r="BV130" s="8"/>
    </row>
    <row r="131" spans="1:74">
      <c r="N131" s="2"/>
      <c r="Q131" s="32"/>
      <c r="AZ131" s="2"/>
      <c r="BG131" s="8"/>
      <c r="BV131" s="8"/>
    </row>
    <row r="132" spans="1:74">
      <c r="A132" s="3"/>
      <c r="B132" s="3"/>
      <c r="N132" s="2"/>
      <c r="Q132" s="32"/>
      <c r="AZ132" s="2"/>
      <c r="BG132" s="8"/>
      <c r="BV132" s="8"/>
    </row>
    <row r="133" spans="1:74">
      <c r="N133" s="2"/>
      <c r="Q133" s="32"/>
      <c r="AZ133" s="2"/>
      <c r="BG133" s="8"/>
      <c r="BV133" s="8"/>
    </row>
    <row r="134" spans="1:74">
      <c r="A134" s="3"/>
      <c r="B134" s="3"/>
      <c r="N134" s="2"/>
      <c r="Q134" s="32"/>
      <c r="AZ134" s="2"/>
      <c r="BG134" s="8"/>
      <c r="BV134" s="8"/>
    </row>
    <row r="135" spans="1:74">
      <c r="N135" s="2"/>
      <c r="Q135" s="32"/>
      <c r="AZ135" s="2"/>
      <c r="BG135" s="8"/>
      <c r="BV135" s="8"/>
    </row>
    <row r="136" spans="1:74">
      <c r="A136" s="3"/>
      <c r="B136" s="3"/>
      <c r="N136" s="2"/>
      <c r="Q136" s="32"/>
      <c r="AZ136" s="2"/>
      <c r="BG136" s="8"/>
      <c r="BV136" s="8"/>
    </row>
    <row r="137" spans="1:74">
      <c r="N137" s="2"/>
      <c r="Q137" s="32"/>
      <c r="AZ137" s="2"/>
      <c r="BG137" s="8"/>
      <c r="BV137" s="8"/>
    </row>
    <row r="138" spans="1:74">
      <c r="A138" s="3"/>
      <c r="B138" s="3"/>
      <c r="N138" s="2"/>
      <c r="Q138" s="32"/>
      <c r="AZ138" s="2"/>
      <c r="BG138" s="8"/>
      <c r="BV138" s="8"/>
    </row>
    <row r="139" spans="1:74">
      <c r="N139" s="2"/>
      <c r="Q139" s="32"/>
      <c r="AZ139" s="2"/>
      <c r="BG139" s="8"/>
      <c r="BV139" s="8"/>
    </row>
    <row r="140" spans="1:74">
      <c r="A140" s="3"/>
      <c r="B140" s="3"/>
      <c r="N140" s="2"/>
      <c r="Q140" s="32"/>
      <c r="AZ140" s="2"/>
      <c r="BG140" s="8"/>
      <c r="BV140" s="8"/>
    </row>
    <row r="141" spans="1:74">
      <c r="N141" s="2"/>
      <c r="Q141" s="32"/>
      <c r="AZ141" s="2"/>
      <c r="BG141" s="8"/>
      <c r="BV141" s="8"/>
    </row>
    <row r="142" spans="1:74">
      <c r="A142" s="3"/>
      <c r="B142" s="3"/>
      <c r="N142" s="2"/>
      <c r="Q142" s="32"/>
      <c r="AZ142" s="2"/>
      <c r="BG142" s="8"/>
      <c r="BV142" s="8"/>
    </row>
    <row r="143" spans="1:74">
      <c r="N143" s="2"/>
      <c r="Q143" s="32"/>
      <c r="AZ143" s="2"/>
      <c r="BG143" s="8"/>
      <c r="BV143" s="8"/>
    </row>
    <row r="144" spans="1:74">
      <c r="A144" s="3"/>
      <c r="B144" s="3"/>
      <c r="N144" s="2"/>
      <c r="Q144" s="32"/>
      <c r="AZ144" s="2"/>
      <c r="BG144" s="8"/>
      <c r="BV144" s="8"/>
    </row>
    <row r="145" spans="1:74">
      <c r="N145" s="2"/>
      <c r="Q145" s="32"/>
      <c r="AZ145" s="2"/>
      <c r="BG145" s="8"/>
      <c r="BV145" s="8"/>
    </row>
    <row r="146" spans="1:74">
      <c r="N146" s="2"/>
      <c r="Q146" s="32"/>
      <c r="AZ146" s="2"/>
      <c r="BG146" s="8"/>
      <c r="BV146" s="8"/>
    </row>
    <row r="147" spans="1:74">
      <c r="N147" s="2"/>
      <c r="Q147" s="32"/>
      <c r="AZ147" s="2"/>
      <c r="BG147" s="8"/>
      <c r="BV147" s="8"/>
    </row>
    <row r="148" spans="1:74">
      <c r="A148" s="3"/>
      <c r="N148" s="2"/>
      <c r="Q148" s="32"/>
      <c r="AZ148" s="2"/>
      <c r="BG148" s="8"/>
      <c r="BV148" s="8"/>
    </row>
    <row r="149" spans="1:74">
      <c r="A149" s="3"/>
      <c r="N149" s="2"/>
      <c r="Q149" s="32"/>
      <c r="AZ149" s="2"/>
      <c r="BG149" s="8"/>
      <c r="BV149" s="8"/>
    </row>
    <row r="150" spans="1:74">
      <c r="A150" s="3"/>
      <c r="B150" s="3"/>
      <c r="N150" s="2"/>
      <c r="Q150" s="32"/>
      <c r="AZ150" s="2"/>
      <c r="BG150" s="8"/>
      <c r="BV150" s="8"/>
    </row>
    <row r="151" spans="1:74">
      <c r="B151" s="3"/>
      <c r="N151" s="2"/>
      <c r="Q151" s="32"/>
      <c r="AZ151" s="2"/>
      <c r="BG151" s="8"/>
      <c r="BV151" s="8"/>
    </row>
    <row r="152" spans="1:74">
      <c r="B152" s="3"/>
      <c r="N152" s="2"/>
      <c r="Q152" s="32"/>
      <c r="AZ152" s="2"/>
      <c r="BG152" s="8"/>
      <c r="BV152" s="8"/>
    </row>
    <row r="153" spans="1:74">
      <c r="B153" s="3"/>
      <c r="N153" s="2"/>
      <c r="Q153" s="32"/>
      <c r="AZ153" s="2"/>
      <c r="BG153" s="8"/>
      <c r="BV153" s="8"/>
    </row>
    <row r="154" spans="1:74">
      <c r="B154" s="3"/>
      <c r="N154" s="2"/>
      <c r="Q154" s="32"/>
      <c r="AZ154" s="2"/>
      <c r="BG154" s="8"/>
      <c r="BV154" s="8"/>
    </row>
    <row r="155" spans="1:74">
      <c r="B155" s="3"/>
      <c r="N155" s="2"/>
      <c r="Q155" s="32"/>
      <c r="AZ155" s="2"/>
      <c r="BG155" s="8"/>
      <c r="BV155" s="8"/>
    </row>
    <row r="156" spans="1:74">
      <c r="B156" s="3"/>
      <c r="N156" s="2"/>
      <c r="Q156" s="32"/>
      <c r="AZ156" s="2"/>
      <c r="BG156" s="8"/>
      <c r="BV156" s="8"/>
    </row>
    <row r="157" spans="1:74">
      <c r="B157" s="3"/>
      <c r="N157" s="2"/>
      <c r="Q157" s="32"/>
      <c r="AZ157" s="2"/>
      <c r="BG157" s="8"/>
      <c r="BV157" s="8"/>
    </row>
    <row r="158" spans="1:74">
      <c r="N158" s="2"/>
      <c r="Q158" s="32"/>
      <c r="AZ158" s="2"/>
      <c r="BG158" s="8"/>
      <c r="BV158" s="8"/>
    </row>
    <row r="159" spans="1:74">
      <c r="N159" s="2"/>
      <c r="Q159" s="32"/>
      <c r="AZ159" s="2"/>
      <c r="BG159" s="8"/>
      <c r="BV159" s="8"/>
    </row>
    <row r="160" spans="1:74">
      <c r="N160" s="2"/>
      <c r="Q160" s="32"/>
      <c r="AZ160" s="2"/>
      <c r="BG160" s="8"/>
      <c r="BV160" s="8"/>
    </row>
    <row r="161" spans="1:74">
      <c r="A161" s="3"/>
      <c r="B161" s="3"/>
      <c r="N161" s="2"/>
      <c r="Q161" s="32"/>
      <c r="AZ161" s="2"/>
      <c r="BG161" s="8"/>
      <c r="BV161" s="8"/>
    </row>
    <row r="162" spans="1:74">
      <c r="B162" s="3"/>
      <c r="N162" s="2"/>
      <c r="Q162" s="32"/>
      <c r="AZ162" s="2"/>
      <c r="BG162" s="8"/>
      <c r="BV162" s="8"/>
    </row>
    <row r="163" spans="1:74">
      <c r="N163" s="2"/>
      <c r="Q163" s="32"/>
      <c r="AZ163" s="2"/>
      <c r="BG163" s="8"/>
      <c r="BV163" s="8"/>
    </row>
    <row r="164" spans="1:74">
      <c r="N164" s="2"/>
      <c r="Q164" s="32"/>
      <c r="AZ164" s="2"/>
      <c r="BG164" s="8"/>
      <c r="BV164" s="8"/>
    </row>
    <row r="165" spans="1:74">
      <c r="N165" s="2"/>
      <c r="Q165" s="32"/>
      <c r="AZ165" s="2"/>
      <c r="BG165" s="8"/>
      <c r="BV165" s="8"/>
    </row>
    <row r="166" spans="1:74">
      <c r="N166" s="2"/>
      <c r="Q166" s="32"/>
      <c r="AZ166" s="2"/>
      <c r="BG166" s="8"/>
      <c r="BV166" s="8"/>
    </row>
    <row r="167" spans="1:74">
      <c r="N167" s="2"/>
      <c r="Q167" s="32"/>
      <c r="AZ167" s="2"/>
      <c r="BG167" s="8"/>
      <c r="BV167" s="8"/>
    </row>
    <row r="168" spans="1:74">
      <c r="A168" s="3"/>
      <c r="N168" s="2"/>
      <c r="Q168" s="32"/>
      <c r="AZ168" s="2"/>
      <c r="BG168" s="8"/>
      <c r="BV168" s="8"/>
    </row>
    <row r="169" spans="1:74">
      <c r="A169" s="3"/>
      <c r="N169" s="2"/>
      <c r="Q169" s="32"/>
      <c r="AZ169" s="2"/>
      <c r="BG169" s="8"/>
      <c r="BV169" s="8"/>
    </row>
    <row r="170" spans="1:74">
      <c r="A170" s="3"/>
      <c r="B170" s="3"/>
      <c r="N170" s="2"/>
      <c r="Q170" s="32"/>
      <c r="AZ170" s="2"/>
      <c r="BG170" s="8"/>
      <c r="BV170" s="8"/>
    </row>
    <row r="171" spans="1:74">
      <c r="B171" s="3"/>
      <c r="N171" s="2"/>
      <c r="Q171" s="32"/>
      <c r="AZ171" s="2"/>
      <c r="BG171" s="8"/>
      <c r="BV171" s="8"/>
    </row>
    <row r="172" spans="1:74">
      <c r="A172" s="3"/>
      <c r="B172" s="3"/>
      <c r="N172" s="2"/>
      <c r="Q172" s="32"/>
      <c r="AZ172" s="2"/>
      <c r="BG172" s="8"/>
      <c r="BV172" s="8"/>
    </row>
    <row r="173" spans="1:74">
      <c r="AZ173" s="2"/>
      <c r="BC173" s="8"/>
    </row>
    <row r="174" spans="1:74">
      <c r="AZ174" s="2"/>
      <c r="BC174" s="8"/>
    </row>
    <row r="175" spans="1:74">
      <c r="AZ175" s="2"/>
      <c r="BC175" s="8"/>
    </row>
    <row r="176" spans="1:74">
      <c r="AZ176" s="2"/>
      <c r="BC176" s="8"/>
    </row>
    <row r="177" spans="52:55">
      <c r="AZ177" s="2"/>
      <c r="BC177" s="8"/>
    </row>
    <row r="178" spans="52:55">
      <c r="AZ178" s="2"/>
      <c r="BC178" s="8"/>
    </row>
    <row r="179" spans="52:55">
      <c r="AZ179" s="2"/>
      <c r="BC179" s="8"/>
    </row>
    <row r="180" spans="52:55">
      <c r="AZ180" s="2"/>
      <c r="BC180" s="8"/>
    </row>
    <row r="181" spans="52:55">
      <c r="AZ181" s="2"/>
      <c r="BC181" s="8"/>
    </row>
    <row r="182" spans="52:55">
      <c r="AZ182" s="2"/>
      <c r="BC182" s="8"/>
    </row>
    <row r="183" spans="52:55">
      <c r="AZ183" s="2"/>
      <c r="BC183" s="8"/>
    </row>
    <row r="184" spans="52:55">
      <c r="AZ184" s="2"/>
      <c r="BC184" s="8"/>
    </row>
    <row r="185" spans="52:55">
      <c r="AZ185" s="2"/>
      <c r="BC185" s="8"/>
    </row>
    <row r="186" spans="52:55">
      <c r="AZ186" s="2"/>
      <c r="BC186" s="8"/>
    </row>
    <row r="187" spans="52:55">
      <c r="AZ187" s="2"/>
      <c r="BC187" s="8"/>
    </row>
    <row r="188" spans="52:55">
      <c r="AZ188" s="2"/>
      <c r="BC188" s="8"/>
    </row>
    <row r="189" spans="52:55">
      <c r="AZ189" s="2"/>
      <c r="BC189" s="8"/>
    </row>
    <row r="190" spans="52:55">
      <c r="AZ190" s="2"/>
      <c r="BC190" s="8"/>
    </row>
    <row r="191" spans="52:55">
      <c r="AZ191" s="2"/>
      <c r="BC191" s="8"/>
    </row>
    <row r="192" spans="52:55">
      <c r="AZ192" s="2"/>
      <c r="BC192" s="8"/>
    </row>
    <row r="193" spans="52:55">
      <c r="AZ193" s="2"/>
      <c r="BC193" s="8"/>
    </row>
    <row r="194" spans="52:55">
      <c r="AZ194" s="2"/>
      <c r="BC194" s="8"/>
    </row>
    <row r="195" spans="52:55">
      <c r="AZ195" s="2"/>
      <c r="BC195" s="8"/>
    </row>
    <row r="196" spans="52:55">
      <c r="AZ196" s="2"/>
      <c r="BC196" s="8"/>
    </row>
    <row r="197" spans="52:55">
      <c r="AZ197" s="2"/>
      <c r="BC197" s="8"/>
    </row>
    <row r="198" spans="52:55">
      <c r="AZ198" s="2"/>
      <c r="BC198" s="8"/>
    </row>
    <row r="199" spans="52:55">
      <c r="AZ199" s="2"/>
      <c r="BC199" s="8"/>
    </row>
    <row r="200" spans="52:55">
      <c r="AZ200" s="2"/>
      <c r="BC200" s="8"/>
    </row>
    <row r="201" spans="52:55">
      <c r="AZ201" s="2"/>
      <c r="BC201" s="8"/>
    </row>
    <row r="202" spans="52:55">
      <c r="AZ202" s="2"/>
      <c r="BC202" s="8"/>
    </row>
    <row r="203" spans="52:55">
      <c r="AZ203" s="2"/>
      <c r="BC203" s="8"/>
    </row>
    <row r="204" spans="52:55">
      <c r="AZ204" s="2"/>
      <c r="BC204" s="8"/>
    </row>
    <row r="205" spans="52:55">
      <c r="AZ205" s="2"/>
      <c r="BC205" s="8"/>
    </row>
    <row r="206" spans="52:55">
      <c r="AZ206" s="2"/>
      <c r="BC206" s="8"/>
    </row>
    <row r="207" spans="52:55">
      <c r="AZ207" s="2"/>
      <c r="BC207" s="8"/>
    </row>
    <row r="208" spans="52:55">
      <c r="AZ208" s="2"/>
      <c r="BC208" s="8"/>
    </row>
    <row r="209" spans="52:55">
      <c r="AZ209" s="2"/>
      <c r="BC209" s="8"/>
    </row>
    <row r="210" spans="52:55">
      <c r="AZ210" s="2"/>
      <c r="BC210" s="8"/>
    </row>
    <row r="211" spans="52:55">
      <c r="AZ211" s="2"/>
      <c r="BC211" s="8"/>
    </row>
    <row r="212" spans="52:55">
      <c r="AZ212" s="2"/>
      <c r="BC212" s="8"/>
    </row>
    <row r="213" spans="52:55">
      <c r="AZ213" s="2"/>
      <c r="BC213" s="8"/>
    </row>
    <row r="214" spans="52:55">
      <c r="AZ214" s="2"/>
      <c r="BC214" s="8"/>
    </row>
  </sheetData>
  <printOptions horizontalCentered="1" gridLinesSet="0"/>
  <pageMargins left="0.25" right="0.25" top="0.7" bottom="0.37" header="0.5" footer="0.17"/>
  <pageSetup scale="83" orientation="landscape" r:id="rId1"/>
  <headerFooter alignWithMargins="0">
    <oddFooter>&amp;C&amp;P</oddFooter>
  </headerFooter>
  <colBreaks count="5" manualBreakCount="5">
    <brk id="9" max="51" man="1"/>
    <brk id="28" max="1048575" man="1"/>
    <brk id="41" max="51" man="1"/>
    <brk id="58" max="51" man="1"/>
    <brk id="73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C214"/>
  <sheetViews>
    <sheetView showGridLines="0" topLeftCell="AM1" zoomScaleNormal="100" workbookViewId="0">
      <selection activeCell="AM45" sqref="AM45"/>
    </sheetView>
  </sheetViews>
  <sheetFormatPr defaultColWidth="10.6640625" defaultRowHeight="13.2"/>
  <cols>
    <col min="1" max="1" width="29.33203125" style="187" customWidth="1"/>
    <col min="2" max="2" width="11.109375" style="187" customWidth="1"/>
    <col min="3" max="3" width="13" style="187" customWidth="1"/>
    <col min="4" max="4" width="4.6640625" style="187" customWidth="1"/>
    <col min="5" max="5" width="44.88671875" style="187" customWidth="1"/>
    <col min="6" max="6" width="10.6640625" style="187" bestFit="1" customWidth="1"/>
    <col min="7" max="8" width="11.6640625" style="187" bestFit="1" customWidth="1"/>
    <col min="9" max="9" width="3.6640625" style="187" customWidth="1"/>
    <col min="10" max="10" width="2.88671875" style="187" customWidth="1"/>
    <col min="11" max="11" width="4" style="187" customWidth="1"/>
    <col min="12" max="12" width="10.33203125" style="187" customWidth="1"/>
    <col min="13" max="13" width="9" style="187" customWidth="1"/>
    <col min="14" max="14" width="10.44140625" style="321" bestFit="1" customWidth="1"/>
    <col min="15" max="15" width="10.44140625" style="187" bestFit="1" customWidth="1"/>
    <col min="16" max="17" width="7.6640625" style="187" bestFit="1" customWidth="1"/>
    <col min="18" max="18" width="7.44140625" style="187" bestFit="1" customWidth="1"/>
    <col min="19" max="19" width="9.33203125" style="187" bestFit="1" customWidth="1"/>
    <col min="20" max="20" width="7.88671875" style="187" bestFit="1" customWidth="1"/>
    <col min="21" max="22" width="9.109375" style="187" bestFit="1" customWidth="1"/>
    <col min="23" max="23" width="10.33203125" style="187" customWidth="1"/>
    <col min="24" max="24" width="8.88671875" style="187" customWidth="1"/>
    <col min="25" max="25" width="8" style="187" customWidth="1"/>
    <col min="26" max="26" width="8.109375" style="187" customWidth="1"/>
    <col min="27" max="28" width="9.109375" style="187" customWidth="1"/>
    <col min="29" max="29" width="2.88671875" style="187" customWidth="1"/>
    <col min="30" max="30" width="7.88671875" style="187" customWidth="1"/>
    <col min="31" max="31" width="12.6640625" style="187" customWidth="1"/>
    <col min="32" max="32" width="10.109375" style="187" customWidth="1"/>
    <col min="33" max="33" width="9.109375" style="187" bestFit="1" customWidth="1"/>
    <col min="34" max="34" width="2.6640625" style="187" customWidth="1"/>
    <col min="35" max="35" width="8" style="187" bestFit="1" customWidth="1"/>
    <col min="36" max="37" width="8.109375" style="187" bestFit="1" customWidth="1"/>
    <col min="38" max="38" width="2.6640625" style="187" customWidth="1"/>
    <col min="39" max="39" width="9.109375" style="187" bestFit="1" customWidth="1"/>
    <col min="40" max="40" width="3.88671875" style="187" customWidth="1"/>
    <col min="41" max="41" width="3.33203125" style="187" customWidth="1"/>
    <col min="42" max="42" width="7.88671875" style="187" customWidth="1"/>
    <col min="43" max="43" width="8.44140625" style="187" bestFit="1" customWidth="1"/>
    <col min="44" max="44" width="9.109375" style="187" bestFit="1" customWidth="1"/>
    <col min="45" max="46" width="8.33203125" style="187" bestFit="1" customWidth="1"/>
    <col min="47" max="48" width="12.5546875" style="187" bestFit="1" customWidth="1"/>
    <col min="49" max="49" width="11.109375" style="187" hidden="1" customWidth="1"/>
    <col min="50" max="50" width="2.6640625" style="187" hidden="1" customWidth="1"/>
    <col min="51" max="51" width="10.109375" style="336" customWidth="1"/>
    <col min="52" max="52" width="2.6640625" style="187" customWidth="1"/>
    <col min="53" max="53" width="8.109375" style="187" bestFit="1" customWidth="1"/>
    <col min="54" max="54" width="11.109375" style="187" bestFit="1" customWidth="1"/>
    <col min="55" max="55" width="9.109375" style="187" bestFit="1" customWidth="1"/>
    <col min="56" max="56" width="9.6640625" style="187" bestFit="1" customWidth="1"/>
    <col min="57" max="57" width="3.6640625" style="187" customWidth="1"/>
    <col min="58" max="58" width="2.88671875" style="187" customWidth="1"/>
    <col min="59" max="59" width="9.88671875" style="187" customWidth="1"/>
    <col min="60" max="60" width="9.88671875" style="187" bestFit="1" customWidth="1"/>
    <col min="61" max="61" width="9.33203125" style="187" bestFit="1" customWidth="1"/>
    <col min="62" max="62" width="8.109375" style="187" bestFit="1" customWidth="1"/>
    <col min="63" max="63" width="7.44140625" style="187" bestFit="1" customWidth="1"/>
    <col min="64" max="64" width="10.109375" style="187" bestFit="1" customWidth="1"/>
    <col min="65" max="65" width="8.33203125" style="187" bestFit="1" customWidth="1"/>
    <col min="66" max="66" width="10.88671875" style="187" hidden="1" customWidth="1"/>
    <col min="67" max="67" width="9.109375" style="187" bestFit="1" customWidth="1"/>
    <col min="68" max="68" width="2.6640625" style="187" customWidth="1"/>
    <col min="69" max="69" width="9.88671875" style="187" bestFit="1" customWidth="1"/>
    <col min="70" max="70" width="2.6640625" style="187" customWidth="1"/>
    <col min="71" max="71" width="9.109375" style="187" bestFit="1" customWidth="1"/>
    <col min="72" max="72" width="3.6640625" style="187" customWidth="1"/>
    <col min="73" max="73" width="3.5546875" style="187" customWidth="1"/>
    <col min="74" max="74" width="7.33203125" style="187" customWidth="1"/>
    <col min="75" max="75" width="9.88671875" style="187" bestFit="1" customWidth="1"/>
    <col min="76" max="76" width="8.109375" style="187" bestFit="1" customWidth="1"/>
    <col min="77" max="77" width="8.33203125" style="187" bestFit="1" customWidth="1"/>
    <col min="78" max="78" width="9.109375" style="187" bestFit="1" customWidth="1"/>
    <col min="79" max="79" width="2.6640625" style="187" customWidth="1"/>
    <col min="80" max="80" width="8.109375" style="187" bestFit="1" customWidth="1"/>
    <col min="81" max="81" width="11.109375" style="187" bestFit="1" customWidth="1"/>
    <col min="82" max="82" width="10" style="187" customWidth="1"/>
    <col min="83" max="83" width="2.6640625" style="187" customWidth="1"/>
    <col min="84" max="84" width="9.6640625" style="187" bestFit="1" customWidth="1"/>
    <col min="85" max="85" width="8.6640625" style="187" customWidth="1"/>
    <col min="86" max="87" width="10.6640625" style="187" customWidth="1"/>
    <col min="88" max="88" width="1.6640625" style="187" customWidth="1"/>
    <col min="89" max="92" width="8.6640625" style="187" customWidth="1"/>
    <col min="93" max="93" width="1.6640625" style="187" customWidth="1"/>
    <col min="94" max="94" width="9.6640625" style="187" customWidth="1"/>
    <col min="95" max="95" width="2.6640625" style="187" customWidth="1"/>
    <col min="96" max="96" width="10.6640625" style="187" customWidth="1"/>
    <col min="97" max="97" width="8.6640625" style="187" customWidth="1"/>
    <col min="98" max="98" width="9.6640625" style="187" customWidth="1"/>
    <col min="99" max="245" width="8.6640625" style="187" customWidth="1"/>
    <col min="246" max="16384" width="10.6640625" style="187"/>
  </cols>
  <sheetData>
    <row r="1" spans="1:105">
      <c r="A1" s="55" t="s">
        <v>109</v>
      </c>
      <c r="B1" s="55"/>
      <c r="C1" s="56"/>
      <c r="D1" s="55"/>
      <c r="E1" s="56"/>
      <c r="F1" s="55"/>
      <c r="G1" s="55"/>
      <c r="H1" s="332"/>
      <c r="K1" s="1" t="s">
        <v>1</v>
      </c>
      <c r="M1" s="333"/>
      <c r="N1" s="187"/>
      <c r="R1" s="321"/>
      <c r="T1" s="185"/>
      <c r="U1" s="185"/>
      <c r="AC1" s="1" t="s">
        <v>2</v>
      </c>
      <c r="AE1" s="333"/>
      <c r="AF1" s="185"/>
      <c r="AO1" s="1" t="s">
        <v>3</v>
      </c>
      <c r="AQ1" s="333"/>
      <c r="AY1" s="187"/>
      <c r="BB1" s="334"/>
      <c r="BF1" s="1" t="s">
        <v>4</v>
      </c>
      <c r="BI1" s="185"/>
      <c r="BU1" s="1" t="s">
        <v>215</v>
      </c>
      <c r="BX1" s="185"/>
    </row>
    <row r="2" spans="1:105">
      <c r="A2" s="56" t="s">
        <v>108</v>
      </c>
      <c r="B2" s="55"/>
      <c r="C2" s="55"/>
      <c r="D2" s="55"/>
      <c r="E2" s="55"/>
      <c r="F2" s="55"/>
      <c r="G2" s="55"/>
      <c r="H2" s="332"/>
      <c r="K2" s="1" t="s">
        <v>5</v>
      </c>
      <c r="N2" s="187"/>
      <c r="R2" s="321"/>
      <c r="T2" s="185"/>
      <c r="U2" s="185"/>
      <c r="AC2" s="1" t="s">
        <v>6</v>
      </c>
      <c r="AF2" s="185"/>
      <c r="AO2" s="1" t="s">
        <v>7</v>
      </c>
      <c r="AY2" s="187"/>
      <c r="BB2" s="334"/>
      <c r="BC2" s="334"/>
      <c r="BF2" s="1" t="s">
        <v>8</v>
      </c>
      <c r="BI2" s="185"/>
      <c r="BN2" s="185"/>
      <c r="BU2" s="1" t="s">
        <v>216</v>
      </c>
      <c r="BX2" s="185"/>
    </row>
    <row r="3" spans="1:105">
      <c r="B3" s="335"/>
      <c r="C3" s="335"/>
      <c r="N3" s="187"/>
      <c r="R3" s="321"/>
      <c r="AY3" s="187"/>
      <c r="BC3" s="334"/>
      <c r="BF3" s="336"/>
      <c r="BN3" s="185"/>
      <c r="BU3" s="336"/>
    </row>
    <row r="4" spans="1:105">
      <c r="A4" s="337" t="s">
        <v>9</v>
      </c>
      <c r="B4" s="7" t="s">
        <v>94</v>
      </c>
      <c r="K4" s="185" t="s">
        <v>9</v>
      </c>
      <c r="M4" s="10" t="str">
        <f>B4</f>
        <v>Montana-Dakota Utilities Co.</v>
      </c>
      <c r="N4" s="187"/>
      <c r="R4" s="321"/>
      <c r="S4" s="166"/>
      <c r="AC4" s="185" t="s">
        <v>9</v>
      </c>
      <c r="AE4" s="10" t="str">
        <f>B4</f>
        <v>Montana-Dakota Utilities Co.</v>
      </c>
      <c r="AO4" s="185" t="s">
        <v>11</v>
      </c>
      <c r="AQ4" s="10" t="str">
        <f>AE4</f>
        <v>Montana-Dakota Utilities Co.</v>
      </c>
      <c r="AY4" s="187"/>
      <c r="BG4" s="338" t="s">
        <v>11</v>
      </c>
      <c r="BH4" s="10" t="str">
        <f>AQ4</f>
        <v>Montana-Dakota Utilities Co.</v>
      </c>
      <c r="BV4" s="338" t="s">
        <v>11</v>
      </c>
      <c r="BW4" s="10" t="str">
        <f>BH4</f>
        <v>Montana-Dakota Utilities Co.</v>
      </c>
    </row>
    <row r="5" spans="1:105">
      <c r="A5" s="337" t="s">
        <v>10</v>
      </c>
      <c r="B5" s="9" t="s">
        <v>263</v>
      </c>
      <c r="K5" s="185" t="s">
        <v>10</v>
      </c>
      <c r="M5" s="10" t="str">
        <f>$B$5</f>
        <v>Residential 95+% AFUE Furnace - New</v>
      </c>
      <c r="N5" s="187"/>
      <c r="R5" s="321"/>
      <c r="AC5" s="185" t="s">
        <v>10</v>
      </c>
      <c r="AE5" s="10" t="str">
        <f>$B$5</f>
        <v>Residential 95+% AFUE Furnace - New</v>
      </c>
      <c r="AO5" s="185" t="s">
        <v>12</v>
      </c>
      <c r="AQ5" s="10" t="str">
        <f>$B$5</f>
        <v>Residential 95+% AFUE Furnace - New</v>
      </c>
      <c r="AY5" s="187"/>
      <c r="BG5" s="338" t="s">
        <v>12</v>
      </c>
      <c r="BH5" s="10" t="str">
        <f>$B$5</f>
        <v>Residential 95+% AFUE Furnace - New</v>
      </c>
      <c r="BV5" s="338" t="s">
        <v>12</v>
      </c>
      <c r="BW5" s="10" t="str">
        <f>$B$5</f>
        <v>Residential 95+% AFUE Furnace - New</v>
      </c>
    </row>
    <row r="6" spans="1:105">
      <c r="A6" s="337" t="s">
        <v>200</v>
      </c>
      <c r="B6" s="312" t="s">
        <v>346</v>
      </c>
      <c r="N6" s="187"/>
      <c r="R6" s="321"/>
      <c r="AY6" s="187"/>
      <c r="BF6" s="336"/>
      <c r="BU6" s="336"/>
    </row>
    <row r="7" spans="1:105">
      <c r="G7" s="339"/>
      <c r="H7" s="339"/>
      <c r="M7" s="339"/>
      <c r="N7" s="47" t="s">
        <v>14</v>
      </c>
      <c r="O7" s="48"/>
      <c r="P7" s="48"/>
      <c r="Q7" s="48"/>
      <c r="R7" s="114"/>
      <c r="S7" s="48"/>
      <c r="T7" s="48"/>
      <c r="U7" s="48"/>
      <c r="V7" s="48"/>
      <c r="W7" s="339"/>
      <c r="X7" s="88" t="s">
        <v>15</v>
      </c>
      <c r="Y7" s="88"/>
      <c r="Z7" s="340"/>
      <c r="AA7" s="341"/>
      <c r="AB7" s="167"/>
      <c r="AC7" s="339"/>
      <c r="AD7" s="339"/>
      <c r="AE7" s="47" t="s">
        <v>14</v>
      </c>
      <c r="AF7" s="342"/>
      <c r="AG7" s="342"/>
      <c r="AH7" s="339"/>
      <c r="AI7" s="88" t="s">
        <v>15</v>
      </c>
      <c r="AJ7" s="88"/>
      <c r="AK7" s="88"/>
      <c r="AL7" s="339"/>
      <c r="AM7" s="343" t="s">
        <v>81</v>
      </c>
      <c r="AN7" s="339"/>
      <c r="AO7" s="339"/>
      <c r="AP7" s="339"/>
      <c r="AQ7" s="47" t="s">
        <v>14</v>
      </c>
      <c r="AR7" s="48"/>
      <c r="AS7" s="48"/>
      <c r="AT7" s="48"/>
      <c r="AU7" s="48"/>
      <c r="AV7" s="48"/>
      <c r="AW7" s="48"/>
      <c r="AX7" s="48"/>
      <c r="AY7" s="48"/>
      <c r="AZ7" s="339"/>
      <c r="BA7" s="88" t="s">
        <v>15</v>
      </c>
      <c r="BB7" s="88"/>
      <c r="BC7" s="89"/>
      <c r="BD7" s="75" t="s">
        <v>81</v>
      </c>
      <c r="BE7" s="339"/>
      <c r="BF7" s="198"/>
      <c r="BG7" s="339"/>
      <c r="BH7" s="47" t="s">
        <v>14</v>
      </c>
      <c r="BI7" s="344"/>
      <c r="BJ7" s="344"/>
      <c r="BK7" s="344"/>
      <c r="BL7" s="344"/>
      <c r="BM7" s="344"/>
      <c r="BN7" s="344"/>
      <c r="BO7" s="344"/>
      <c r="BP7" s="339"/>
      <c r="BQ7" s="126" t="s">
        <v>15</v>
      </c>
      <c r="BR7" s="125" t="s">
        <v>81</v>
      </c>
      <c r="BS7" s="339"/>
      <c r="BT7" s="339"/>
      <c r="BU7" s="198"/>
      <c r="BV7" s="339"/>
      <c r="BW7" s="47" t="s">
        <v>14</v>
      </c>
      <c r="BX7" s="344"/>
      <c r="BY7" s="344"/>
      <c r="BZ7" s="344"/>
      <c r="CA7" s="339"/>
      <c r="CB7" s="88" t="s">
        <v>15</v>
      </c>
      <c r="CC7" s="88"/>
      <c r="CD7" s="88"/>
      <c r="CE7" s="125" t="s">
        <v>81</v>
      </c>
      <c r="CF7" s="339"/>
    </row>
    <row r="8" spans="1:105">
      <c r="A8" s="345" t="s">
        <v>13</v>
      </c>
      <c r="B8" s="345"/>
      <c r="C8" s="346"/>
      <c r="E8" s="345"/>
      <c r="F8" s="184">
        <v>2015</v>
      </c>
      <c r="G8" s="167"/>
      <c r="H8" s="167"/>
      <c r="L8" s="339"/>
      <c r="M8" s="347"/>
      <c r="N8" s="347"/>
      <c r="O8" s="339"/>
      <c r="Q8" s="347"/>
      <c r="R8" s="348"/>
      <c r="S8" s="347"/>
      <c r="T8" s="347"/>
      <c r="U8" s="347"/>
      <c r="V8" s="347"/>
      <c r="W8" s="347"/>
      <c r="X8" s="347"/>
      <c r="Z8" s="347"/>
      <c r="AA8" s="167"/>
      <c r="AB8" s="167" t="s">
        <v>17</v>
      </c>
      <c r="AC8" s="339"/>
      <c r="AD8" s="339"/>
      <c r="AE8" s="347"/>
      <c r="AF8" s="347"/>
      <c r="AG8" s="347"/>
      <c r="AH8" s="339"/>
      <c r="AK8" s="339"/>
      <c r="AL8" s="347"/>
      <c r="AM8" s="167" t="s">
        <v>17</v>
      </c>
      <c r="AN8" s="339"/>
      <c r="AO8" s="339"/>
      <c r="AP8" s="339"/>
      <c r="AQ8" s="339"/>
      <c r="AR8" s="339"/>
      <c r="AS8" s="167" t="s">
        <v>24</v>
      </c>
      <c r="AT8" s="347"/>
      <c r="AU8" s="336"/>
      <c r="AV8" s="347"/>
      <c r="AW8" s="349"/>
      <c r="AX8" s="350"/>
      <c r="AY8" s="347"/>
      <c r="AZ8" s="347"/>
      <c r="BA8" s="347"/>
      <c r="BB8" s="347"/>
      <c r="BC8" s="347"/>
      <c r="BD8" s="167" t="s">
        <v>17</v>
      </c>
      <c r="BE8" s="339"/>
      <c r="BF8" s="198"/>
      <c r="BG8" s="167"/>
      <c r="BH8" s="167"/>
      <c r="BI8" s="339"/>
      <c r="BJ8" s="339"/>
      <c r="BK8" s="339"/>
      <c r="BM8" s="339"/>
      <c r="BN8" s="339"/>
      <c r="BO8" s="339"/>
      <c r="BP8" s="339"/>
      <c r="BQ8" s="339"/>
      <c r="BR8" s="339"/>
      <c r="BS8" s="167" t="s">
        <v>17</v>
      </c>
      <c r="BT8" s="339"/>
      <c r="BU8" s="198"/>
      <c r="BV8" s="167"/>
      <c r="BW8" s="167"/>
      <c r="BX8" s="339"/>
      <c r="BY8" s="339"/>
      <c r="BZ8" s="339"/>
      <c r="CA8" s="339"/>
      <c r="CB8" s="339"/>
      <c r="CC8" s="339"/>
      <c r="CD8" s="339"/>
      <c r="CE8" s="339"/>
      <c r="CF8" s="167" t="s">
        <v>17</v>
      </c>
      <c r="CZ8" s="351"/>
      <c r="DA8" s="351"/>
    </row>
    <row r="9" spans="1:105">
      <c r="A9" s="185"/>
      <c r="E9" s="185"/>
      <c r="G9" s="339"/>
      <c r="H9" s="339"/>
      <c r="L9" s="339"/>
      <c r="M9" s="167" t="s">
        <v>20</v>
      </c>
      <c r="N9" s="167" t="s">
        <v>23</v>
      </c>
      <c r="O9" s="198" t="s">
        <v>23</v>
      </c>
      <c r="P9" s="352" t="s">
        <v>21</v>
      </c>
      <c r="Q9" s="352" t="s">
        <v>21</v>
      </c>
      <c r="R9" s="353" t="s">
        <v>20</v>
      </c>
      <c r="S9" s="354" t="s">
        <v>97</v>
      </c>
      <c r="T9" s="167" t="s">
        <v>31</v>
      </c>
      <c r="U9" s="353" t="s">
        <v>20</v>
      </c>
      <c r="V9" s="167"/>
      <c r="W9" s="354" t="s">
        <v>96</v>
      </c>
      <c r="X9" s="339"/>
      <c r="Y9" s="336" t="s">
        <v>35</v>
      </c>
      <c r="Z9" s="167"/>
      <c r="AA9" s="167" t="s">
        <v>20</v>
      </c>
      <c r="AB9" s="167" t="s">
        <v>14</v>
      </c>
      <c r="AC9" s="339"/>
      <c r="AD9" s="339"/>
      <c r="AE9" s="354" t="s">
        <v>20</v>
      </c>
      <c r="AF9" s="353" t="s">
        <v>20</v>
      </c>
      <c r="AG9" s="354" t="s">
        <v>17</v>
      </c>
      <c r="AH9" s="339"/>
      <c r="AI9" s="336" t="s">
        <v>35</v>
      </c>
      <c r="AJ9" s="167"/>
      <c r="AK9" s="167" t="s">
        <v>22</v>
      </c>
      <c r="AL9" s="339"/>
      <c r="AM9" s="167" t="s">
        <v>14</v>
      </c>
      <c r="AN9" s="339"/>
      <c r="AO9" s="339"/>
      <c r="AP9" s="339"/>
      <c r="AQ9" s="354" t="s">
        <v>20</v>
      </c>
      <c r="AR9" s="167" t="s">
        <v>20</v>
      </c>
      <c r="AS9" s="167" t="s">
        <v>36</v>
      </c>
      <c r="AT9" s="167" t="s">
        <v>24</v>
      </c>
      <c r="AU9" s="352" t="s">
        <v>37</v>
      </c>
      <c r="AV9" s="352" t="s">
        <v>37</v>
      </c>
      <c r="AW9" s="349"/>
      <c r="AX9" s="355"/>
      <c r="AY9" s="167" t="s">
        <v>17</v>
      </c>
      <c r="AZ9" s="339"/>
      <c r="BA9" s="167" t="s">
        <v>22</v>
      </c>
      <c r="BB9" s="167" t="s">
        <v>39</v>
      </c>
      <c r="BC9" s="198" t="s">
        <v>17</v>
      </c>
      <c r="BD9" s="167" t="s">
        <v>14</v>
      </c>
      <c r="BE9" s="339"/>
      <c r="BF9" s="198"/>
      <c r="BG9" s="167"/>
      <c r="BH9" s="167"/>
      <c r="BI9" s="167" t="s">
        <v>20</v>
      </c>
      <c r="BJ9" s="339"/>
      <c r="BK9" s="167" t="s">
        <v>23</v>
      </c>
      <c r="BL9" s="336" t="s">
        <v>24</v>
      </c>
      <c r="BM9" s="198" t="s">
        <v>24</v>
      </c>
      <c r="BN9" s="198"/>
      <c r="BO9" s="167" t="s">
        <v>20</v>
      </c>
      <c r="BP9" s="339"/>
      <c r="BQ9" s="167" t="s">
        <v>26</v>
      </c>
      <c r="BR9" s="198"/>
      <c r="BS9" s="167" t="s">
        <v>14</v>
      </c>
      <c r="BT9" s="339"/>
      <c r="BU9" s="198"/>
      <c r="BV9" s="167"/>
      <c r="BW9" s="167" t="s">
        <v>20</v>
      </c>
      <c r="BX9" s="167" t="s">
        <v>20</v>
      </c>
      <c r="BY9" s="167" t="s">
        <v>24</v>
      </c>
      <c r="BZ9" s="167" t="s">
        <v>20</v>
      </c>
      <c r="CA9" s="339"/>
      <c r="CB9" s="167" t="s">
        <v>22</v>
      </c>
      <c r="CC9" s="167" t="s">
        <v>39</v>
      </c>
      <c r="CD9" s="167"/>
      <c r="CE9" s="198"/>
      <c r="CF9" s="167" t="s">
        <v>14</v>
      </c>
    </row>
    <row r="10" spans="1:105">
      <c r="A10" s="185" t="s">
        <v>104</v>
      </c>
      <c r="C10" s="356">
        <f>+'Gas Input Table Summary'!$D$7</f>
        <v>5.9719999999999995</v>
      </c>
      <c r="D10" s="357"/>
      <c r="E10" s="185" t="s">
        <v>16</v>
      </c>
      <c r="G10" s="339"/>
      <c r="H10" s="339"/>
      <c r="J10" s="358"/>
      <c r="L10" s="339"/>
      <c r="M10" s="167" t="s">
        <v>28</v>
      </c>
      <c r="N10" s="167" t="s">
        <v>29</v>
      </c>
      <c r="O10" s="198" t="s">
        <v>29</v>
      </c>
      <c r="P10" s="352" t="s">
        <v>30</v>
      </c>
      <c r="Q10" s="352" t="s">
        <v>30</v>
      </c>
      <c r="R10" s="353" t="s">
        <v>36</v>
      </c>
      <c r="S10" s="167" t="s">
        <v>31</v>
      </c>
      <c r="T10" s="167" t="s">
        <v>38</v>
      </c>
      <c r="U10" s="353" t="s">
        <v>31</v>
      </c>
      <c r="V10" s="167" t="s">
        <v>20</v>
      </c>
      <c r="W10" s="167" t="s">
        <v>118</v>
      </c>
      <c r="X10" s="167" t="s">
        <v>92</v>
      </c>
      <c r="Y10" s="336" t="s">
        <v>144</v>
      </c>
      <c r="Z10" s="167" t="s">
        <v>117</v>
      </c>
      <c r="AA10" s="167" t="s">
        <v>35</v>
      </c>
      <c r="AB10" s="167" t="s">
        <v>34</v>
      </c>
      <c r="AC10" s="339"/>
      <c r="AD10" s="339"/>
      <c r="AE10" s="354" t="s">
        <v>36</v>
      </c>
      <c r="AF10" s="353" t="s">
        <v>31</v>
      </c>
      <c r="AG10" s="354" t="s">
        <v>20</v>
      </c>
      <c r="AH10" s="339"/>
      <c r="AI10" s="336" t="s">
        <v>144</v>
      </c>
      <c r="AJ10" s="167" t="s">
        <v>117</v>
      </c>
      <c r="AK10" s="167" t="s">
        <v>35</v>
      </c>
      <c r="AL10" s="339"/>
      <c r="AM10" s="167" t="s">
        <v>34</v>
      </c>
      <c r="AN10" s="339"/>
      <c r="AO10" s="339"/>
      <c r="AP10" s="339"/>
      <c r="AQ10" s="167" t="s">
        <v>28</v>
      </c>
      <c r="AR10" s="167" t="s">
        <v>131</v>
      </c>
      <c r="AS10" s="167" t="s">
        <v>38</v>
      </c>
      <c r="AT10" s="167" t="s">
        <v>36</v>
      </c>
      <c r="AU10" s="198" t="s">
        <v>99</v>
      </c>
      <c r="AV10" s="359" t="s">
        <v>99</v>
      </c>
      <c r="AW10" s="349"/>
      <c r="AX10" s="360"/>
      <c r="AY10" s="167" t="s">
        <v>20</v>
      </c>
      <c r="AZ10" s="339"/>
      <c r="BA10" s="167" t="s">
        <v>35</v>
      </c>
      <c r="BB10" s="354" t="s">
        <v>100</v>
      </c>
      <c r="BC10" s="198" t="s">
        <v>20</v>
      </c>
      <c r="BD10" s="167" t="s">
        <v>34</v>
      </c>
      <c r="BE10" s="339"/>
      <c r="BF10" s="198"/>
      <c r="BG10" s="167"/>
      <c r="BH10" s="167" t="s">
        <v>25</v>
      </c>
      <c r="BI10" s="167" t="s">
        <v>28</v>
      </c>
      <c r="BJ10" s="167" t="s">
        <v>32</v>
      </c>
      <c r="BK10" s="167" t="s">
        <v>33</v>
      </c>
      <c r="BL10" s="336" t="s">
        <v>136</v>
      </c>
      <c r="BM10" s="167" t="s">
        <v>36</v>
      </c>
      <c r="BN10" s="167"/>
      <c r="BO10" s="167" t="s">
        <v>17</v>
      </c>
      <c r="BP10" s="339"/>
      <c r="BQ10" s="167" t="s">
        <v>112</v>
      </c>
      <c r="BR10" s="167"/>
      <c r="BS10" s="167" t="s">
        <v>34</v>
      </c>
      <c r="BT10" s="339"/>
      <c r="BU10" s="198"/>
      <c r="BV10" s="167"/>
      <c r="BW10" s="167" t="s">
        <v>28</v>
      </c>
      <c r="BX10" s="167" t="s">
        <v>31</v>
      </c>
      <c r="BY10" s="167" t="s">
        <v>36</v>
      </c>
      <c r="BZ10" s="167" t="s">
        <v>17</v>
      </c>
      <c r="CA10" s="339"/>
      <c r="CB10" s="167" t="s">
        <v>35</v>
      </c>
      <c r="CC10" s="354" t="s">
        <v>100</v>
      </c>
      <c r="CD10" s="167" t="s">
        <v>20</v>
      </c>
      <c r="CE10" s="167"/>
      <c r="CF10" s="167" t="s">
        <v>34</v>
      </c>
    </row>
    <row r="11" spans="1:105">
      <c r="A11" s="185" t="s">
        <v>18</v>
      </c>
      <c r="C11" s="361">
        <f>+'Gas Input Table Summary'!$D$8</f>
        <v>3.5000000000000003E-2</v>
      </c>
      <c r="E11" s="185" t="s">
        <v>19</v>
      </c>
      <c r="F11" s="195">
        <f>+'Total Program Inputs'!K11</f>
        <v>3031</v>
      </c>
      <c r="G11" s="538"/>
      <c r="H11" s="538"/>
      <c r="J11" s="337" t="s">
        <v>42</v>
      </c>
      <c r="L11" s="339"/>
      <c r="M11" s="167" t="s">
        <v>44</v>
      </c>
      <c r="N11" s="198" t="s">
        <v>107</v>
      </c>
      <c r="O11" s="198" t="s">
        <v>38</v>
      </c>
      <c r="P11" s="352" t="s">
        <v>107</v>
      </c>
      <c r="Q11" s="352" t="s">
        <v>38</v>
      </c>
      <c r="R11" s="353" t="s">
        <v>38</v>
      </c>
      <c r="S11" s="167" t="s">
        <v>44</v>
      </c>
      <c r="T11" s="198" t="s">
        <v>95</v>
      </c>
      <c r="U11" s="353" t="s">
        <v>38</v>
      </c>
      <c r="V11" s="167" t="s">
        <v>38</v>
      </c>
      <c r="W11" s="167" t="s">
        <v>119</v>
      </c>
      <c r="X11" s="167" t="s">
        <v>93</v>
      </c>
      <c r="Y11" s="336" t="s">
        <v>15</v>
      </c>
      <c r="Z11" s="167" t="s">
        <v>15</v>
      </c>
      <c r="AA11" s="167" t="s">
        <v>15</v>
      </c>
      <c r="AB11" s="167" t="s">
        <v>15</v>
      </c>
      <c r="AC11" s="339"/>
      <c r="AE11" s="167" t="s">
        <v>38</v>
      </c>
      <c r="AF11" s="353" t="s">
        <v>38</v>
      </c>
      <c r="AG11" s="353" t="s">
        <v>38</v>
      </c>
      <c r="AH11" s="339"/>
      <c r="AI11" s="336" t="s">
        <v>15</v>
      </c>
      <c r="AJ11" s="167" t="s">
        <v>15</v>
      </c>
      <c r="AK11" s="167" t="s">
        <v>15</v>
      </c>
      <c r="AL11" s="339"/>
      <c r="AM11" s="167" t="s">
        <v>15</v>
      </c>
      <c r="AN11" s="339"/>
      <c r="AO11" s="339"/>
      <c r="AQ11" s="167" t="s">
        <v>38</v>
      </c>
      <c r="AR11" s="167" t="s">
        <v>38</v>
      </c>
      <c r="AS11" s="336" t="s">
        <v>133</v>
      </c>
      <c r="AT11" s="167" t="s">
        <v>38</v>
      </c>
      <c r="AU11" s="362" t="s">
        <v>132</v>
      </c>
      <c r="AV11" s="362" t="s">
        <v>38</v>
      </c>
      <c r="AW11" s="349"/>
      <c r="AX11" s="360"/>
      <c r="AY11" s="354" t="s">
        <v>38</v>
      </c>
      <c r="AZ11" s="339"/>
      <c r="BA11" s="167" t="s">
        <v>15</v>
      </c>
      <c r="BB11" s="363" t="s">
        <v>101</v>
      </c>
      <c r="BC11" s="359" t="s">
        <v>15</v>
      </c>
      <c r="BD11" s="167" t="s">
        <v>15</v>
      </c>
      <c r="BE11" s="339"/>
      <c r="BG11" s="167"/>
      <c r="BH11" s="167" t="s">
        <v>46</v>
      </c>
      <c r="BI11" s="167" t="s">
        <v>44</v>
      </c>
      <c r="BJ11" s="167" t="s">
        <v>45</v>
      </c>
      <c r="BK11" s="167" t="s">
        <v>38</v>
      </c>
      <c r="BL11" s="336" t="s">
        <v>0</v>
      </c>
      <c r="BM11" s="167" t="s">
        <v>38</v>
      </c>
      <c r="BN11" s="167"/>
      <c r="BO11" s="167" t="s">
        <v>14</v>
      </c>
      <c r="BP11" s="339"/>
      <c r="BQ11" s="167" t="s">
        <v>15</v>
      </c>
      <c r="BR11" s="167"/>
      <c r="BS11" s="167" t="s">
        <v>15</v>
      </c>
      <c r="BT11" s="339"/>
      <c r="BV11" s="167"/>
      <c r="BW11" s="167" t="s">
        <v>38</v>
      </c>
      <c r="BX11" s="167" t="s">
        <v>38</v>
      </c>
      <c r="BY11" s="167" t="s">
        <v>38</v>
      </c>
      <c r="BZ11" s="167" t="s">
        <v>14</v>
      </c>
      <c r="CA11" s="339"/>
      <c r="CB11" s="167" t="s">
        <v>15</v>
      </c>
      <c r="CC11" s="363" t="s">
        <v>101</v>
      </c>
      <c r="CD11" s="167" t="s">
        <v>15</v>
      </c>
      <c r="CE11" s="167"/>
      <c r="CF11" s="167" t="s">
        <v>15</v>
      </c>
    </row>
    <row r="12" spans="1:105">
      <c r="A12" s="185"/>
      <c r="C12" s="361"/>
      <c r="E12" s="185" t="s">
        <v>27</v>
      </c>
      <c r="F12" s="320">
        <f>+'Total Program Inputs'!G11</f>
        <v>40800</v>
      </c>
      <c r="G12" s="540"/>
      <c r="H12" s="540"/>
      <c r="J12" s="333"/>
      <c r="L12" s="184" t="s">
        <v>43</v>
      </c>
      <c r="M12" s="170" t="s">
        <v>48</v>
      </c>
      <c r="N12" s="170" t="s">
        <v>49</v>
      </c>
      <c r="O12" s="170" t="s">
        <v>50</v>
      </c>
      <c r="P12" s="170" t="s">
        <v>51</v>
      </c>
      <c r="Q12" s="170" t="s">
        <v>52</v>
      </c>
      <c r="R12" s="170" t="s">
        <v>53</v>
      </c>
      <c r="S12" s="170" t="s">
        <v>54</v>
      </c>
      <c r="T12" s="170" t="s">
        <v>55</v>
      </c>
      <c r="U12" s="170" t="s">
        <v>56</v>
      </c>
      <c r="V12" s="170" t="s">
        <v>57</v>
      </c>
      <c r="W12" s="170" t="s">
        <v>58</v>
      </c>
      <c r="X12" s="170" t="s">
        <v>59</v>
      </c>
      <c r="Y12" s="170" t="s">
        <v>60</v>
      </c>
      <c r="Z12" s="170" t="s">
        <v>61</v>
      </c>
      <c r="AA12" s="170" t="s">
        <v>137</v>
      </c>
      <c r="AB12" s="170" t="s">
        <v>145</v>
      </c>
      <c r="AD12" s="184" t="s">
        <v>43</v>
      </c>
      <c r="AE12" s="170" t="s">
        <v>48</v>
      </c>
      <c r="AF12" s="170" t="s">
        <v>49</v>
      </c>
      <c r="AG12" s="170" t="s">
        <v>50</v>
      </c>
      <c r="AI12" s="170" t="s">
        <v>51</v>
      </c>
      <c r="AJ12" s="170" t="s">
        <v>52</v>
      </c>
      <c r="AK12" s="170" t="s">
        <v>53</v>
      </c>
      <c r="AM12" s="170" t="s">
        <v>54</v>
      </c>
      <c r="AP12" s="184" t="s">
        <v>43</v>
      </c>
      <c r="AQ12" s="170" t="s">
        <v>48</v>
      </c>
      <c r="AR12" s="170" t="s">
        <v>49</v>
      </c>
      <c r="AS12" s="170" t="s">
        <v>50</v>
      </c>
      <c r="AT12" s="170" t="s">
        <v>51</v>
      </c>
      <c r="AU12" s="170" t="s">
        <v>52</v>
      </c>
      <c r="AV12" s="170" t="s">
        <v>53</v>
      </c>
      <c r="AW12" s="364"/>
      <c r="AX12" s="364"/>
      <c r="AY12" s="170" t="s">
        <v>54</v>
      </c>
      <c r="AZ12" s="339"/>
      <c r="BA12" s="170" t="s">
        <v>55</v>
      </c>
      <c r="BB12" s="170" t="s">
        <v>56</v>
      </c>
      <c r="BC12" s="170" t="s">
        <v>57</v>
      </c>
      <c r="BD12" s="170" t="s">
        <v>58</v>
      </c>
      <c r="BG12" s="184" t="s">
        <v>43</v>
      </c>
      <c r="BH12" s="170" t="s">
        <v>48</v>
      </c>
      <c r="BI12" s="170" t="s">
        <v>49</v>
      </c>
      <c r="BJ12" s="170" t="s">
        <v>50</v>
      </c>
      <c r="BK12" s="170" t="s">
        <v>51</v>
      </c>
      <c r="BL12" s="170" t="s">
        <v>52</v>
      </c>
      <c r="BM12" s="170" t="s">
        <v>53</v>
      </c>
      <c r="BN12" s="170"/>
      <c r="BO12" s="170" t="s">
        <v>54</v>
      </c>
      <c r="BQ12" s="170" t="s">
        <v>55</v>
      </c>
      <c r="BR12" s="198"/>
      <c r="BS12" s="170" t="s">
        <v>56</v>
      </c>
      <c r="BV12" s="184" t="s">
        <v>43</v>
      </c>
      <c r="BW12" s="170" t="s">
        <v>48</v>
      </c>
      <c r="BX12" s="170" t="s">
        <v>49</v>
      </c>
      <c r="BY12" s="170" t="s">
        <v>50</v>
      </c>
      <c r="BZ12" s="170" t="s">
        <v>51</v>
      </c>
      <c r="CB12" s="170" t="s">
        <v>52</v>
      </c>
      <c r="CC12" s="170" t="s">
        <v>53</v>
      </c>
      <c r="CD12" s="170" t="s">
        <v>54</v>
      </c>
      <c r="CE12" s="198"/>
      <c r="CF12" s="170" t="s">
        <v>55</v>
      </c>
    </row>
    <row r="13" spans="1:105">
      <c r="A13" s="185" t="s">
        <v>40</v>
      </c>
      <c r="C13" s="365">
        <f>+'Gas Input Table Summary'!$D$9</f>
        <v>0.14205999999999999</v>
      </c>
      <c r="E13" s="185" t="s">
        <v>41</v>
      </c>
      <c r="F13" s="357">
        <f>SUM(F11:F12)</f>
        <v>43831</v>
      </c>
      <c r="G13" s="374"/>
      <c r="H13" s="374"/>
      <c r="J13" s="366"/>
      <c r="L13" s="366"/>
      <c r="M13" s="366"/>
      <c r="N13" s="366"/>
      <c r="Q13" s="366"/>
      <c r="R13" s="321"/>
      <c r="S13" s="366"/>
      <c r="T13" s="366"/>
      <c r="V13" s="167"/>
      <c r="W13" s="366"/>
      <c r="X13" s="366"/>
      <c r="Z13" s="366"/>
      <c r="AA13" s="366"/>
      <c r="AB13" s="366"/>
      <c r="AD13" s="366"/>
      <c r="AE13" s="366"/>
      <c r="AG13" s="366"/>
      <c r="AK13" s="366"/>
      <c r="AM13" s="366"/>
      <c r="AP13" s="366"/>
      <c r="AQ13" s="366"/>
      <c r="AR13" s="366"/>
      <c r="AT13" s="366"/>
      <c r="AV13" s="334"/>
      <c r="AW13" s="274"/>
      <c r="AX13" s="367"/>
      <c r="AY13" s="366"/>
      <c r="BA13" s="366"/>
      <c r="BB13" s="366"/>
      <c r="BC13" s="366"/>
      <c r="BD13" s="366"/>
      <c r="BG13" s="366"/>
      <c r="BH13" s="366"/>
      <c r="BI13" s="366"/>
      <c r="BJ13" s="366"/>
      <c r="BK13" s="366"/>
      <c r="BM13" s="366"/>
      <c r="BN13" s="366"/>
      <c r="BO13" s="366"/>
      <c r="BQ13" s="366"/>
      <c r="BR13" s="366"/>
      <c r="BS13" s="366"/>
      <c r="BV13" s="366"/>
      <c r="BW13" s="366"/>
      <c r="BX13" s="366"/>
      <c r="BY13" s="366"/>
      <c r="BZ13" s="366"/>
      <c r="CB13" s="366"/>
      <c r="CC13" s="366"/>
      <c r="CD13" s="366"/>
      <c r="CE13" s="366"/>
      <c r="CF13" s="366"/>
    </row>
    <row r="14" spans="1:105">
      <c r="A14" s="185" t="s">
        <v>47</v>
      </c>
      <c r="C14" s="361">
        <f>+'Gas Input Table Summary'!$D$10</f>
        <v>3.5000000000000003E-2</v>
      </c>
      <c r="F14" s="368"/>
      <c r="G14" s="419"/>
      <c r="H14" s="419"/>
      <c r="J14" s="333">
        <f>$C$47-$C$45</f>
        <v>1</v>
      </c>
      <c r="L14" s="366">
        <f>$C$47</f>
        <v>2015</v>
      </c>
      <c r="M14" s="369">
        <f>ROUND(IF($C$47+$F$23&gt;L14,F25*F30,0),0)</f>
        <v>1086</v>
      </c>
      <c r="N14" s="370">
        <f>ROUND($C$17*(1),3)</f>
        <v>2.577</v>
      </c>
      <c r="O14" s="357">
        <f t="shared" ref="O14:O34" si="0">ROUND(M14*N14,0)</f>
        <v>2799</v>
      </c>
      <c r="P14" s="370">
        <f t="shared" ref="P14:P34" si="1">ROUND($C$25*(1+$C$26)^J14,3)</f>
        <v>0</v>
      </c>
      <c r="Q14" s="357">
        <f>ROUND(M14*P14,0)</f>
        <v>0</v>
      </c>
      <c r="R14" s="371">
        <f t="shared" ref="R14:R34" si="2">O14+Q14</f>
        <v>2799</v>
      </c>
      <c r="S14" s="372">
        <f t="shared" ref="S14:S34" si="3">ROUND(M14*$C$23,1)</f>
        <v>10.9</v>
      </c>
      <c r="T14" s="357">
        <f>ROUND($C$20*(1),0)</f>
        <v>142</v>
      </c>
      <c r="U14" s="373">
        <f>ROUND(S14*T14,0)</f>
        <v>1548</v>
      </c>
      <c r="V14" s="374">
        <f>ROUND(+U14+R14,0)</f>
        <v>4347</v>
      </c>
      <c r="W14" s="375">
        <f t="shared" ref="W14:W34" si="4">ROUND($H$36*(1+$C$11)^J14,3)</f>
        <v>1.8049999999999999</v>
      </c>
      <c r="X14" s="376">
        <f t="shared" ref="X14:X34" si="5">ROUND((1-$H$38)*(W14*M14),0)</f>
        <v>1274</v>
      </c>
      <c r="Y14" s="377">
        <f>ROUND($F$11,0)</f>
        <v>3031</v>
      </c>
      <c r="Z14" s="377">
        <f>ROUND($F$12,0)</f>
        <v>40800</v>
      </c>
      <c r="AA14" s="377">
        <f t="shared" ref="AA14:AA34" si="6">SUM(X14:Z14)</f>
        <v>45105</v>
      </c>
      <c r="AB14" s="357">
        <f t="shared" ref="AB14:AB34" si="7">V14-AA14</f>
        <v>-40758</v>
      </c>
      <c r="AD14" s="366">
        <f>$C$47</f>
        <v>2015</v>
      </c>
      <c r="AE14" s="357">
        <f t="shared" ref="AE14:AE34" si="8">+R14</f>
        <v>2799</v>
      </c>
      <c r="AF14" s="378">
        <f t="shared" ref="AF14:AF34" si="9">+U14</f>
        <v>1548</v>
      </c>
      <c r="AG14" s="377">
        <f>+AF14+AE14</f>
        <v>4347</v>
      </c>
      <c r="AI14" s="378">
        <f t="shared" ref="AI14:AI34" si="10">ROUND(Y14,0)</f>
        <v>3031</v>
      </c>
      <c r="AJ14" s="378">
        <f t="shared" ref="AJ14:AJ34" si="11">ROUND(Z14,0)</f>
        <v>40800</v>
      </c>
      <c r="AK14" s="357">
        <f t="shared" ref="AK14:AK34" si="12">SUM(AI14:AJ14)</f>
        <v>43831</v>
      </c>
      <c r="AM14" s="357">
        <f t="shared" ref="AM14:AM34" si="13">+AG14-AK14</f>
        <v>-39484</v>
      </c>
      <c r="AP14" s="366">
        <f>$C$47</f>
        <v>2015</v>
      </c>
      <c r="AQ14" s="357">
        <f t="shared" ref="AQ14:AQ34" si="14">AE14</f>
        <v>2799</v>
      </c>
      <c r="AR14" s="357">
        <f t="shared" ref="AR14:AR34" si="15">+AF14</f>
        <v>1548</v>
      </c>
      <c r="AS14" s="379">
        <f t="shared" ref="AS14:AS34" si="16">ROUND(($C$28/(1-$C$31))*(1+$C$29)^J14,3)</f>
        <v>2.4E-2</v>
      </c>
      <c r="AT14" s="380">
        <f>ROUND(IF($C$47+$F$23&gt;$AP14,$F$30*$F$27,0)*AS14,0)</f>
        <v>2389</v>
      </c>
      <c r="AU14" s="370">
        <f t="shared" ref="AU14:AU34" si="17">ROUND($C$33*(1+$C$34)^J14,3)</f>
        <v>0.35799999999999998</v>
      </c>
      <c r="AV14" s="357">
        <f t="shared" ref="AV14:AV34" si="18">ROUND(AU14*M14,0)</f>
        <v>389</v>
      </c>
      <c r="AW14" s="379"/>
      <c r="AX14" s="380"/>
      <c r="AY14" s="357">
        <f>ROUND(AQ14+AR14+AT14+AV14+AX14,0)</f>
        <v>7125</v>
      </c>
      <c r="AZ14" s="381"/>
      <c r="BA14" s="377">
        <f>ROUND($F$13,0)</f>
        <v>43831</v>
      </c>
      <c r="BB14" s="377">
        <f>ROUND((F15*F30)-Z14,0)</f>
        <v>272</v>
      </c>
      <c r="BC14" s="382">
        <f>BA14+BB14</f>
        <v>44103</v>
      </c>
      <c r="BD14" s="377">
        <f t="shared" ref="BD14:BD34" si="19">AY14-BC14</f>
        <v>-36978</v>
      </c>
      <c r="BG14" s="366">
        <f>$C$47</f>
        <v>2015</v>
      </c>
      <c r="BH14" s="357">
        <f>+F12</f>
        <v>40800</v>
      </c>
      <c r="BI14" s="369">
        <f t="shared" ref="BI14:BI34" si="20">+M14</f>
        <v>1086</v>
      </c>
      <c r="BJ14" s="383">
        <f t="shared" ref="BJ14:BJ34" si="21">ROUND($C$10*(1+$C$11)^J14,3)</f>
        <v>6.181</v>
      </c>
      <c r="BK14" s="357">
        <f>ROUND(BI14*BJ14,0)</f>
        <v>6713</v>
      </c>
      <c r="BL14" s="383">
        <f t="shared" ref="BL14:BL34" si="22">ROUND($C$13*(1+$C$14)^J14,3)</f>
        <v>0.14699999999999999</v>
      </c>
      <c r="BM14" s="380">
        <f>ROUND(IF($C$47+$F$23&gt;$BG14,$F$30*$F$27,0)*BL14,0)</f>
        <v>14634</v>
      </c>
      <c r="BN14" s="380"/>
      <c r="BO14" s="357">
        <f t="shared" ref="BO14:BO34" si="23">BH14+BK14+BM14+BN14</f>
        <v>62147</v>
      </c>
      <c r="BQ14" s="357">
        <f>ROUND(F15*F30,0)</f>
        <v>41072</v>
      </c>
      <c r="BR14" s="357"/>
      <c r="BS14" s="357">
        <f>BO14-BQ14</f>
        <v>21075</v>
      </c>
      <c r="BV14" s="366">
        <f>$C$47</f>
        <v>2015</v>
      </c>
      <c r="BW14" s="357">
        <f t="shared" ref="BW14:BW34" si="24">$R14</f>
        <v>2799</v>
      </c>
      <c r="BX14" s="357">
        <f t="shared" ref="BX14:BX34" si="25">U14</f>
        <v>1548</v>
      </c>
      <c r="BY14" s="384">
        <f>AT14</f>
        <v>2389</v>
      </c>
      <c r="BZ14" s="357">
        <f>SUM(BW14:BY14)</f>
        <v>6736</v>
      </c>
      <c r="CB14" s="357">
        <f>BA14</f>
        <v>43831</v>
      </c>
      <c r="CC14" s="357">
        <f>BB14</f>
        <v>272</v>
      </c>
      <c r="CD14" s="357">
        <f>SUM(CB14:CC14)</f>
        <v>44103</v>
      </c>
      <c r="CE14" s="357"/>
      <c r="CF14" s="357">
        <f>BZ14-CD14</f>
        <v>-37367</v>
      </c>
    </row>
    <row r="15" spans="1:105">
      <c r="A15" s="185" t="s">
        <v>62</v>
      </c>
      <c r="C15" s="188" t="str">
        <f>+'Gas Input Table Summary'!$D$11</f>
        <v>Kwh</v>
      </c>
      <c r="E15" s="185" t="s">
        <v>63</v>
      </c>
      <c r="F15" s="385">
        <f>ROUND('Database Inputs'!K10,0)</f>
        <v>302</v>
      </c>
      <c r="G15" s="385"/>
      <c r="H15" s="385"/>
      <c r="J15" s="333">
        <f t="shared" ref="J15:J34" si="26">J14+1</f>
        <v>2</v>
      </c>
      <c r="L15" s="366">
        <f t="shared" ref="L15:L34" si="27">L14+1</f>
        <v>2016</v>
      </c>
      <c r="M15" s="386">
        <f>ROUND(IF($C$47+$F$23&gt;L15,$F$25*$F$30,0)+IF($C$48+$G$23&gt;L15,$G$25*$G$30,0),0)</f>
        <v>1086</v>
      </c>
      <c r="N15" s="387">
        <f>ROUND($C$17*(1+$C$18)^J14,3)</f>
        <v>2.6669999999999998</v>
      </c>
      <c r="O15" s="388">
        <f t="shared" si="0"/>
        <v>2896</v>
      </c>
      <c r="P15" s="387">
        <f t="shared" si="1"/>
        <v>0</v>
      </c>
      <c r="Q15" s="389">
        <f t="shared" ref="Q15:Q34" si="28">ROUND(M15*P15,0)</f>
        <v>0</v>
      </c>
      <c r="R15" s="390">
        <f t="shared" si="2"/>
        <v>2896</v>
      </c>
      <c r="S15" s="372">
        <f t="shared" si="3"/>
        <v>10.9</v>
      </c>
      <c r="T15" s="389">
        <f>ROUND($C$20*(1+$C$21)^J14,0)</f>
        <v>144</v>
      </c>
      <c r="U15" s="391">
        <f>ROUND(S15*T15,0)</f>
        <v>1570</v>
      </c>
      <c r="V15" s="386">
        <f t="shared" ref="V15:V34" si="29">ROUND(+U15+R15,0)</f>
        <v>4466</v>
      </c>
      <c r="W15" s="392">
        <f t="shared" si="4"/>
        <v>1.8680000000000001</v>
      </c>
      <c r="X15" s="393">
        <f t="shared" si="5"/>
        <v>1319</v>
      </c>
      <c r="Y15" s="393">
        <f>ROUND($G$11,0)</f>
        <v>0</v>
      </c>
      <c r="Z15" s="393">
        <f>ROUND($G$12,0)</f>
        <v>0</v>
      </c>
      <c r="AA15" s="389">
        <f t="shared" si="6"/>
        <v>1319</v>
      </c>
      <c r="AB15" s="393">
        <f t="shared" si="7"/>
        <v>3147</v>
      </c>
      <c r="AD15" s="366">
        <f t="shared" ref="AD15:AD34" si="30">AD14+1</f>
        <v>2016</v>
      </c>
      <c r="AE15" s="393">
        <f t="shared" si="8"/>
        <v>2896</v>
      </c>
      <c r="AF15" s="368">
        <f t="shared" si="9"/>
        <v>1570</v>
      </c>
      <c r="AG15" s="393">
        <f>+AF15+AE15</f>
        <v>4466</v>
      </c>
      <c r="AI15" s="394">
        <f t="shared" si="10"/>
        <v>0</v>
      </c>
      <c r="AJ15" s="394">
        <f t="shared" si="11"/>
        <v>0</v>
      </c>
      <c r="AK15" s="395">
        <f t="shared" si="12"/>
        <v>0</v>
      </c>
      <c r="AM15" s="396">
        <f t="shared" si="13"/>
        <v>4466</v>
      </c>
      <c r="AP15" s="366">
        <f t="shared" ref="AP15:AP34" si="31">AP14+1</f>
        <v>2016</v>
      </c>
      <c r="AQ15" s="393">
        <f t="shared" si="14"/>
        <v>2896</v>
      </c>
      <c r="AR15" s="393">
        <f t="shared" si="15"/>
        <v>1570</v>
      </c>
      <c r="AS15" s="397">
        <f t="shared" si="16"/>
        <v>2.5000000000000001E-2</v>
      </c>
      <c r="AT15" s="398">
        <f>ROUND((IF($C$47+$F$23&gt;$AP15,$F$27*$F$30,0)+IF($C$48+$G$23&gt;AP15,$G$27*$G$30,0))*AS15,0)</f>
        <v>2489</v>
      </c>
      <c r="AU15" s="387">
        <f t="shared" si="17"/>
        <v>0.36599999999999999</v>
      </c>
      <c r="AV15" s="393">
        <f t="shared" si="18"/>
        <v>397</v>
      </c>
      <c r="AW15" s="397"/>
      <c r="AX15" s="399"/>
      <c r="AY15" s="393">
        <f t="shared" ref="AY15:AY34" si="32">ROUND(AQ15+AR15+AT15+AV15+AX15,0)</f>
        <v>7352</v>
      </c>
      <c r="AZ15" s="381"/>
      <c r="BA15" s="393">
        <f>ROUND($G$13,0)</f>
        <v>0</v>
      </c>
      <c r="BB15" s="393">
        <f>ROUND(($G$15*$G$30)-$Z$15,0)</f>
        <v>0</v>
      </c>
      <c r="BC15" s="400">
        <f t="shared" ref="BC15:BC34" si="33">BA15+BB15</f>
        <v>0</v>
      </c>
      <c r="BD15" s="393">
        <f t="shared" si="19"/>
        <v>7352</v>
      </c>
      <c r="BG15" s="366">
        <f t="shared" ref="BG15:BG34" si="34">BG14+1</f>
        <v>2016</v>
      </c>
      <c r="BH15" s="393">
        <f>+G12</f>
        <v>0</v>
      </c>
      <c r="BI15" s="369">
        <f t="shared" si="20"/>
        <v>1086</v>
      </c>
      <c r="BJ15" s="401">
        <f t="shared" si="21"/>
        <v>6.3970000000000002</v>
      </c>
      <c r="BK15" s="393">
        <f>ROUND(BI15*BJ15,0)</f>
        <v>6947</v>
      </c>
      <c r="BL15" s="401">
        <f t="shared" si="22"/>
        <v>0.152</v>
      </c>
      <c r="BM15" s="398">
        <f>ROUND((IF($C$47+$F$23&gt;BG15,$F$27*$F$30,0)+IF($C$48+$G$23&gt;BG15,$G$27*$G$30,0))*BL15,0)</f>
        <v>15132</v>
      </c>
      <c r="BN15" s="402"/>
      <c r="BO15" s="393">
        <f t="shared" si="23"/>
        <v>22079</v>
      </c>
      <c r="BQ15" s="393">
        <f>ROUND($G$15*$G$30,0)</f>
        <v>0</v>
      </c>
      <c r="BR15" s="393"/>
      <c r="BS15" s="393">
        <f t="shared" ref="BS15:BS34" si="35">BO15-BQ15</f>
        <v>22079</v>
      </c>
      <c r="BV15" s="366">
        <f t="shared" ref="BV15:BV34" si="36">BV14+1</f>
        <v>2016</v>
      </c>
      <c r="BW15" s="393">
        <f t="shared" si="24"/>
        <v>2896</v>
      </c>
      <c r="BX15" s="369">
        <f t="shared" si="25"/>
        <v>1570</v>
      </c>
      <c r="BY15" s="403">
        <f t="shared" ref="BY15:BY34" si="37">AT15</f>
        <v>2489</v>
      </c>
      <c r="BZ15" s="393">
        <f t="shared" ref="BZ15:BZ34" si="38">SUM(BW15:BY15)</f>
        <v>6955</v>
      </c>
      <c r="CB15" s="393">
        <f t="shared" ref="CB15:CC34" si="39">BA15</f>
        <v>0</v>
      </c>
      <c r="CC15" s="393">
        <f t="shared" si="39"/>
        <v>0</v>
      </c>
      <c r="CD15" s="393">
        <f t="shared" ref="CD15:CD34" si="40">SUM(CB15:CC15)</f>
        <v>0</v>
      </c>
      <c r="CE15" s="393"/>
      <c r="CF15" s="393">
        <f>BZ15-CD15</f>
        <v>6955</v>
      </c>
    </row>
    <row r="16" spans="1:105">
      <c r="F16" s="369"/>
      <c r="G16" s="369"/>
      <c r="H16" s="369"/>
      <c r="J16" s="333">
        <f t="shared" si="26"/>
        <v>3</v>
      </c>
      <c r="L16" s="366">
        <f t="shared" si="27"/>
        <v>2017</v>
      </c>
      <c r="M16" s="386">
        <f>ROUND(IF($C$47+$F$23&gt;L16,$F$25*$F$30,0)+IF($C$48+$G$23&gt;L16,$G$25*$G$30,0)+IF($C$49+$H$23&gt;L16,$H$25*$H$30,0),0)</f>
        <v>1086</v>
      </c>
      <c r="N16" s="387">
        <f t="shared" ref="N16:N34" si="41">ROUND($C$17*(1+$C$18)^J15,3)</f>
        <v>2.7610000000000001</v>
      </c>
      <c r="O16" s="388">
        <f t="shared" si="0"/>
        <v>2998</v>
      </c>
      <c r="P16" s="387">
        <f t="shared" si="1"/>
        <v>0</v>
      </c>
      <c r="Q16" s="389">
        <f t="shared" si="28"/>
        <v>0</v>
      </c>
      <c r="R16" s="390">
        <f t="shared" si="2"/>
        <v>2998</v>
      </c>
      <c r="S16" s="372">
        <f t="shared" si="3"/>
        <v>10.9</v>
      </c>
      <c r="T16" s="389">
        <f t="shared" ref="T16:T34" si="42">ROUND($C$20*(1+$C$21)^J15,0)</f>
        <v>145</v>
      </c>
      <c r="U16" s="391">
        <f t="shared" ref="U16:U34" si="43">ROUND(S16*T16,0)</f>
        <v>1581</v>
      </c>
      <c r="V16" s="386">
        <f t="shared" si="29"/>
        <v>4579</v>
      </c>
      <c r="W16" s="392">
        <f t="shared" si="4"/>
        <v>1.9339999999999999</v>
      </c>
      <c r="X16" s="393">
        <f t="shared" si="5"/>
        <v>1365</v>
      </c>
      <c r="Y16" s="393">
        <f>ROUND($H$11,0)</f>
        <v>0</v>
      </c>
      <c r="Z16" s="393">
        <f>ROUND($H$12,0)</f>
        <v>0</v>
      </c>
      <c r="AA16" s="389">
        <f t="shared" si="6"/>
        <v>1365</v>
      </c>
      <c r="AB16" s="393">
        <f t="shared" si="7"/>
        <v>3214</v>
      </c>
      <c r="AD16" s="366">
        <f t="shared" si="30"/>
        <v>2017</v>
      </c>
      <c r="AE16" s="393">
        <f t="shared" si="8"/>
        <v>2998</v>
      </c>
      <c r="AF16" s="368">
        <f t="shared" si="9"/>
        <v>1581</v>
      </c>
      <c r="AG16" s="393">
        <f t="shared" ref="AG16:AG34" si="44">+AF16+AE16</f>
        <v>4579</v>
      </c>
      <c r="AI16" s="394">
        <f t="shared" si="10"/>
        <v>0</v>
      </c>
      <c r="AJ16" s="394">
        <f t="shared" si="11"/>
        <v>0</v>
      </c>
      <c r="AK16" s="395">
        <f t="shared" si="12"/>
        <v>0</v>
      </c>
      <c r="AM16" s="396">
        <f t="shared" si="13"/>
        <v>4579</v>
      </c>
      <c r="AP16" s="366">
        <f t="shared" si="31"/>
        <v>2017</v>
      </c>
      <c r="AQ16" s="393">
        <f t="shared" si="14"/>
        <v>2998</v>
      </c>
      <c r="AR16" s="393">
        <f t="shared" si="15"/>
        <v>1581</v>
      </c>
      <c r="AS16" s="397">
        <f t="shared" si="16"/>
        <v>2.5000000000000001E-2</v>
      </c>
      <c r="AT16" s="398">
        <f t="shared" ref="AT16:AT34" si="45">ROUND((IF($C$47+$F$23&gt;$AP16,$F$27*$F$30,0)+IF($C$48+$G$23&gt;AP16,$G$27*$G$30,0)+IF($C$49+$H$23&gt;AP16,$H$27*$H$30,0))*AS16,0)</f>
        <v>2489</v>
      </c>
      <c r="AU16" s="387">
        <f t="shared" si="17"/>
        <v>0.375</v>
      </c>
      <c r="AV16" s="393">
        <f t="shared" si="18"/>
        <v>407</v>
      </c>
      <c r="AW16" s="397"/>
      <c r="AX16" s="399"/>
      <c r="AY16" s="393">
        <f t="shared" si="32"/>
        <v>7475</v>
      </c>
      <c r="AZ16" s="381"/>
      <c r="BA16" s="393">
        <f>ROUND($H$13,0)</f>
        <v>0</v>
      </c>
      <c r="BB16" s="393">
        <f>ROUND(($H$15*$H$30)-$Z$16,0)</f>
        <v>0</v>
      </c>
      <c r="BC16" s="400">
        <f t="shared" si="33"/>
        <v>0</v>
      </c>
      <c r="BD16" s="393">
        <f t="shared" si="19"/>
        <v>7475</v>
      </c>
      <c r="BG16" s="366">
        <f t="shared" si="34"/>
        <v>2017</v>
      </c>
      <c r="BH16" s="393">
        <f>ROUND(H12,0)</f>
        <v>0</v>
      </c>
      <c r="BI16" s="369">
        <f t="shared" si="20"/>
        <v>1086</v>
      </c>
      <c r="BJ16" s="401">
        <f t="shared" si="21"/>
        <v>6.6210000000000004</v>
      </c>
      <c r="BK16" s="393">
        <f t="shared" ref="BK16:BK34" si="46">ROUND(BI16*BJ16,0)</f>
        <v>7190</v>
      </c>
      <c r="BL16" s="401">
        <f t="shared" si="22"/>
        <v>0.158</v>
      </c>
      <c r="BM16" s="398">
        <f>ROUND((IF($C$47+$F$23&gt;BG16,$F$27*$F$30,0)+IF($C$49+$H$23&gt;BG16,$H$27*$H$30,0)+IF($C$48+$G$23&gt;BG16,$G$27*$G$30,0))*BL16,0)</f>
        <v>15729</v>
      </c>
      <c r="BN16" s="402"/>
      <c r="BO16" s="393">
        <f t="shared" si="23"/>
        <v>22919</v>
      </c>
      <c r="BQ16" s="393">
        <f>ROUND($H$15*$H$30,0)</f>
        <v>0</v>
      </c>
      <c r="BR16" s="393"/>
      <c r="BS16" s="393">
        <f t="shared" si="35"/>
        <v>22919</v>
      </c>
      <c r="BV16" s="366">
        <f t="shared" si="36"/>
        <v>2017</v>
      </c>
      <c r="BW16" s="393">
        <f t="shared" si="24"/>
        <v>2998</v>
      </c>
      <c r="BX16" s="369">
        <f t="shared" si="25"/>
        <v>1581</v>
      </c>
      <c r="BY16" s="403">
        <f t="shared" si="37"/>
        <v>2489</v>
      </c>
      <c r="BZ16" s="393">
        <f t="shared" si="38"/>
        <v>7068</v>
      </c>
      <c r="CB16" s="393">
        <f t="shared" si="39"/>
        <v>0</v>
      </c>
      <c r="CC16" s="393">
        <f t="shared" si="39"/>
        <v>0</v>
      </c>
      <c r="CD16" s="393">
        <f t="shared" si="40"/>
        <v>0</v>
      </c>
      <c r="CE16" s="393"/>
      <c r="CF16" s="393">
        <f t="shared" ref="CF16:CF34" si="47">BZ16-CD16</f>
        <v>7068</v>
      </c>
    </row>
    <row r="17" spans="1:105">
      <c r="A17" s="185" t="s">
        <v>105</v>
      </c>
      <c r="C17" s="356">
        <f>+'Gas Input Table Summary'!$D$12</f>
        <v>2.577</v>
      </c>
      <c r="D17" s="404"/>
      <c r="E17" s="185" t="s">
        <v>64</v>
      </c>
      <c r="F17" s="195">
        <f>+'Gas Input Table Summary'!$D$35</f>
        <v>0</v>
      </c>
      <c r="G17" s="195"/>
      <c r="H17" s="195"/>
      <c r="J17" s="333">
        <f t="shared" si="26"/>
        <v>4</v>
      </c>
      <c r="L17" s="366">
        <f t="shared" si="27"/>
        <v>2018</v>
      </c>
      <c r="M17" s="386">
        <f t="shared" ref="M17:M34" si="48">ROUND(IF($C$47+$F$23&gt;L17,$F$25*$F$30,0)+IF($C$48+$G$23&gt;L17,$G$25*$G$30,0)+IF($C$49+$H$23&gt;L17,$H$25*$H$30,0),0)</f>
        <v>1086</v>
      </c>
      <c r="N17" s="387">
        <f t="shared" si="41"/>
        <v>2.8570000000000002</v>
      </c>
      <c r="O17" s="388">
        <f t="shared" si="0"/>
        <v>3103</v>
      </c>
      <c r="P17" s="387">
        <f t="shared" si="1"/>
        <v>0</v>
      </c>
      <c r="Q17" s="389">
        <f t="shared" si="28"/>
        <v>0</v>
      </c>
      <c r="R17" s="390">
        <f t="shared" si="2"/>
        <v>3103</v>
      </c>
      <c r="S17" s="372">
        <f t="shared" si="3"/>
        <v>10.9</v>
      </c>
      <c r="T17" s="389">
        <f t="shared" si="42"/>
        <v>147</v>
      </c>
      <c r="U17" s="391">
        <f t="shared" si="43"/>
        <v>1602</v>
      </c>
      <c r="V17" s="386">
        <f t="shared" si="29"/>
        <v>4705</v>
      </c>
      <c r="W17" s="392">
        <f t="shared" si="4"/>
        <v>2.0009999999999999</v>
      </c>
      <c r="X17" s="393">
        <f t="shared" si="5"/>
        <v>1413</v>
      </c>
      <c r="Y17" s="393">
        <v>0</v>
      </c>
      <c r="Z17" s="393">
        <v>0</v>
      </c>
      <c r="AA17" s="389">
        <f t="shared" si="6"/>
        <v>1413</v>
      </c>
      <c r="AB17" s="393">
        <f t="shared" si="7"/>
        <v>3292</v>
      </c>
      <c r="AD17" s="366">
        <f t="shared" si="30"/>
        <v>2018</v>
      </c>
      <c r="AE17" s="393">
        <f t="shared" si="8"/>
        <v>3103</v>
      </c>
      <c r="AF17" s="368">
        <f t="shared" si="9"/>
        <v>1602</v>
      </c>
      <c r="AG17" s="393">
        <f t="shared" si="44"/>
        <v>4705</v>
      </c>
      <c r="AI17" s="394">
        <f t="shared" si="10"/>
        <v>0</v>
      </c>
      <c r="AJ17" s="394">
        <f t="shared" si="11"/>
        <v>0</v>
      </c>
      <c r="AK17" s="395">
        <f t="shared" si="12"/>
        <v>0</v>
      </c>
      <c r="AM17" s="396">
        <f t="shared" si="13"/>
        <v>4705</v>
      </c>
      <c r="AP17" s="366">
        <f t="shared" si="31"/>
        <v>2018</v>
      </c>
      <c r="AQ17" s="393">
        <f t="shared" si="14"/>
        <v>3103</v>
      </c>
      <c r="AR17" s="393">
        <f t="shared" si="15"/>
        <v>1602</v>
      </c>
      <c r="AS17" s="397">
        <f t="shared" si="16"/>
        <v>2.5999999999999999E-2</v>
      </c>
      <c r="AT17" s="398">
        <f t="shared" si="45"/>
        <v>2588</v>
      </c>
      <c r="AU17" s="387">
        <f t="shared" si="17"/>
        <v>0.38300000000000001</v>
      </c>
      <c r="AV17" s="393">
        <f t="shared" si="18"/>
        <v>416</v>
      </c>
      <c r="AW17" s="397"/>
      <c r="AX17" s="399"/>
      <c r="AY17" s="393">
        <f t="shared" si="32"/>
        <v>7709</v>
      </c>
      <c r="AZ17" s="381"/>
      <c r="BA17" s="393">
        <v>0</v>
      </c>
      <c r="BB17" s="393">
        <v>0</v>
      </c>
      <c r="BC17" s="400">
        <f t="shared" si="33"/>
        <v>0</v>
      </c>
      <c r="BD17" s="393">
        <f t="shared" si="19"/>
        <v>7709</v>
      </c>
      <c r="BG17" s="366">
        <f t="shared" si="34"/>
        <v>2018</v>
      </c>
      <c r="BH17" s="393">
        <v>0</v>
      </c>
      <c r="BI17" s="369">
        <f t="shared" si="20"/>
        <v>1086</v>
      </c>
      <c r="BJ17" s="401">
        <f t="shared" si="21"/>
        <v>6.8529999999999998</v>
      </c>
      <c r="BK17" s="393">
        <f t="shared" si="46"/>
        <v>7442</v>
      </c>
      <c r="BL17" s="401">
        <f t="shared" si="22"/>
        <v>0.16300000000000001</v>
      </c>
      <c r="BM17" s="398">
        <f t="shared" ref="BM17:BM34" si="49">ROUND((IF($C$47+$F$23&gt;BG17,$F$27*$F$30,0)+IF($C$49+$H$23&gt;BG17,$H$27*$H$30,0)+IF($C$48+$G$23&gt;BG17,$G$27*$G$30,0))*BL17,0)</f>
        <v>16227</v>
      </c>
      <c r="BN17" s="402"/>
      <c r="BO17" s="393">
        <f t="shared" si="23"/>
        <v>23669</v>
      </c>
      <c r="BQ17" s="393">
        <f t="shared" ref="BQ17:BQ34" si="50">+BB17</f>
        <v>0</v>
      </c>
      <c r="BR17" s="393"/>
      <c r="BS17" s="393">
        <f t="shared" si="35"/>
        <v>23669</v>
      </c>
      <c r="BV17" s="366">
        <f t="shared" si="36"/>
        <v>2018</v>
      </c>
      <c r="BW17" s="393">
        <f t="shared" si="24"/>
        <v>3103</v>
      </c>
      <c r="BX17" s="369">
        <f t="shared" si="25"/>
        <v>1602</v>
      </c>
      <c r="BY17" s="403">
        <f t="shared" si="37"/>
        <v>2588</v>
      </c>
      <c r="BZ17" s="393">
        <f t="shared" si="38"/>
        <v>7293</v>
      </c>
      <c r="CB17" s="393">
        <f t="shared" si="39"/>
        <v>0</v>
      </c>
      <c r="CC17" s="393">
        <f t="shared" si="39"/>
        <v>0</v>
      </c>
      <c r="CD17" s="393">
        <f t="shared" si="40"/>
        <v>0</v>
      </c>
      <c r="CE17" s="393"/>
      <c r="CF17" s="393">
        <f t="shared" si="47"/>
        <v>7293</v>
      </c>
    </row>
    <row r="18" spans="1:105">
      <c r="A18" s="185" t="s">
        <v>18</v>
      </c>
      <c r="C18" s="358">
        <f>+'Gas Input Table Summary'!$D$13</f>
        <v>3.5000000000000003E-2</v>
      </c>
      <c r="E18" s="187" t="s">
        <v>65</v>
      </c>
      <c r="F18" s="405">
        <f>+'Gas Input Table Summary'!$D$38</f>
        <v>0</v>
      </c>
      <c r="G18" s="405"/>
      <c r="H18" s="405"/>
      <c r="J18" s="333">
        <f t="shared" si="26"/>
        <v>5</v>
      </c>
      <c r="L18" s="366">
        <f t="shared" si="27"/>
        <v>2019</v>
      </c>
      <c r="M18" s="386">
        <f t="shared" si="48"/>
        <v>1086</v>
      </c>
      <c r="N18" s="387">
        <f t="shared" si="41"/>
        <v>2.9569999999999999</v>
      </c>
      <c r="O18" s="388">
        <f t="shared" si="0"/>
        <v>3211</v>
      </c>
      <c r="P18" s="387">
        <f t="shared" si="1"/>
        <v>0</v>
      </c>
      <c r="Q18" s="389">
        <f t="shared" si="28"/>
        <v>0</v>
      </c>
      <c r="R18" s="390">
        <f t="shared" si="2"/>
        <v>3211</v>
      </c>
      <c r="S18" s="372">
        <f t="shared" si="3"/>
        <v>10.9</v>
      </c>
      <c r="T18" s="389">
        <f t="shared" si="42"/>
        <v>148</v>
      </c>
      <c r="U18" s="391">
        <f t="shared" si="43"/>
        <v>1613</v>
      </c>
      <c r="V18" s="386">
        <f t="shared" si="29"/>
        <v>4824</v>
      </c>
      <c r="W18" s="392">
        <f t="shared" si="4"/>
        <v>2.0710000000000002</v>
      </c>
      <c r="X18" s="393">
        <f t="shared" si="5"/>
        <v>1462</v>
      </c>
      <c r="Y18" s="393">
        <v>0</v>
      </c>
      <c r="Z18" s="393">
        <v>0</v>
      </c>
      <c r="AA18" s="389">
        <f t="shared" si="6"/>
        <v>1462</v>
      </c>
      <c r="AB18" s="393">
        <f t="shared" si="7"/>
        <v>3362</v>
      </c>
      <c r="AD18" s="366">
        <f t="shared" si="30"/>
        <v>2019</v>
      </c>
      <c r="AE18" s="393">
        <f t="shared" si="8"/>
        <v>3211</v>
      </c>
      <c r="AF18" s="368">
        <f t="shared" si="9"/>
        <v>1613</v>
      </c>
      <c r="AG18" s="393">
        <f t="shared" si="44"/>
        <v>4824</v>
      </c>
      <c r="AI18" s="394">
        <f t="shared" si="10"/>
        <v>0</v>
      </c>
      <c r="AJ18" s="394">
        <f t="shared" si="11"/>
        <v>0</v>
      </c>
      <c r="AK18" s="395">
        <f t="shared" si="12"/>
        <v>0</v>
      </c>
      <c r="AM18" s="396">
        <f t="shared" si="13"/>
        <v>4824</v>
      </c>
      <c r="AP18" s="366">
        <f t="shared" si="31"/>
        <v>2019</v>
      </c>
      <c r="AQ18" s="393">
        <f t="shared" si="14"/>
        <v>3211</v>
      </c>
      <c r="AR18" s="393">
        <f t="shared" si="15"/>
        <v>1613</v>
      </c>
      <c r="AS18" s="397">
        <f t="shared" si="16"/>
        <v>2.7E-2</v>
      </c>
      <c r="AT18" s="398">
        <f t="shared" si="45"/>
        <v>2688</v>
      </c>
      <c r="AU18" s="387">
        <f t="shared" si="17"/>
        <v>0.39200000000000002</v>
      </c>
      <c r="AV18" s="393">
        <f t="shared" si="18"/>
        <v>426</v>
      </c>
      <c r="AW18" s="397"/>
      <c r="AX18" s="399"/>
      <c r="AY18" s="393">
        <f t="shared" si="32"/>
        <v>7938</v>
      </c>
      <c r="AZ18" s="381"/>
      <c r="BA18" s="393">
        <v>0</v>
      </c>
      <c r="BB18" s="393">
        <v>0</v>
      </c>
      <c r="BC18" s="400">
        <f t="shared" si="33"/>
        <v>0</v>
      </c>
      <c r="BD18" s="393">
        <f t="shared" si="19"/>
        <v>7938</v>
      </c>
      <c r="BG18" s="366">
        <f t="shared" si="34"/>
        <v>2019</v>
      </c>
      <c r="BH18" s="393">
        <v>0</v>
      </c>
      <c r="BI18" s="369">
        <f t="shared" si="20"/>
        <v>1086</v>
      </c>
      <c r="BJ18" s="401">
        <f t="shared" si="21"/>
        <v>7.093</v>
      </c>
      <c r="BK18" s="393">
        <f t="shared" si="46"/>
        <v>7703</v>
      </c>
      <c r="BL18" s="401">
        <f t="shared" si="22"/>
        <v>0.16900000000000001</v>
      </c>
      <c r="BM18" s="398">
        <f t="shared" si="49"/>
        <v>16824</v>
      </c>
      <c r="BN18" s="402"/>
      <c r="BO18" s="393">
        <f t="shared" si="23"/>
        <v>24527</v>
      </c>
      <c r="BQ18" s="393">
        <f t="shared" si="50"/>
        <v>0</v>
      </c>
      <c r="BR18" s="393"/>
      <c r="BS18" s="393">
        <f t="shared" si="35"/>
        <v>24527</v>
      </c>
      <c r="BV18" s="366">
        <f t="shared" si="36"/>
        <v>2019</v>
      </c>
      <c r="BW18" s="393">
        <f t="shared" si="24"/>
        <v>3211</v>
      </c>
      <c r="BX18" s="369">
        <f t="shared" si="25"/>
        <v>1613</v>
      </c>
      <c r="BY18" s="403">
        <f t="shared" si="37"/>
        <v>2688</v>
      </c>
      <c r="BZ18" s="393">
        <f t="shared" si="38"/>
        <v>7512</v>
      </c>
      <c r="CB18" s="393">
        <f t="shared" si="39"/>
        <v>0</v>
      </c>
      <c r="CC18" s="393">
        <f t="shared" si="39"/>
        <v>0</v>
      </c>
      <c r="CD18" s="393">
        <f t="shared" si="40"/>
        <v>0</v>
      </c>
      <c r="CE18" s="393"/>
      <c r="CF18" s="393">
        <f t="shared" si="47"/>
        <v>7512</v>
      </c>
      <c r="DA18" s="337" t="s">
        <v>42</v>
      </c>
    </row>
    <row r="19" spans="1:105">
      <c r="C19" s="185"/>
      <c r="J19" s="333">
        <f t="shared" si="26"/>
        <v>6</v>
      </c>
      <c r="L19" s="366">
        <f t="shared" si="27"/>
        <v>2020</v>
      </c>
      <c r="M19" s="386">
        <f t="shared" si="48"/>
        <v>1086</v>
      </c>
      <c r="N19" s="387">
        <f t="shared" si="41"/>
        <v>3.0609999999999999</v>
      </c>
      <c r="O19" s="388">
        <f t="shared" si="0"/>
        <v>3324</v>
      </c>
      <c r="P19" s="387">
        <f t="shared" si="1"/>
        <v>0</v>
      </c>
      <c r="Q19" s="389">
        <f t="shared" si="28"/>
        <v>0</v>
      </c>
      <c r="R19" s="390">
        <f t="shared" si="2"/>
        <v>3324</v>
      </c>
      <c r="S19" s="372">
        <f t="shared" si="3"/>
        <v>10.9</v>
      </c>
      <c r="T19" s="389">
        <f t="shared" si="42"/>
        <v>149</v>
      </c>
      <c r="U19" s="391">
        <f t="shared" si="43"/>
        <v>1624</v>
      </c>
      <c r="V19" s="386">
        <f t="shared" si="29"/>
        <v>4948</v>
      </c>
      <c r="W19" s="392">
        <f t="shared" si="4"/>
        <v>2.1440000000000001</v>
      </c>
      <c r="X19" s="393">
        <f t="shared" si="5"/>
        <v>1513</v>
      </c>
      <c r="Y19" s="393">
        <v>0</v>
      </c>
      <c r="Z19" s="393">
        <v>0</v>
      </c>
      <c r="AA19" s="389">
        <f t="shared" si="6"/>
        <v>1513</v>
      </c>
      <c r="AB19" s="393">
        <f t="shared" si="7"/>
        <v>3435</v>
      </c>
      <c r="AD19" s="366">
        <f t="shared" si="30"/>
        <v>2020</v>
      </c>
      <c r="AE19" s="393">
        <f t="shared" si="8"/>
        <v>3324</v>
      </c>
      <c r="AF19" s="368">
        <f t="shared" si="9"/>
        <v>1624</v>
      </c>
      <c r="AG19" s="393">
        <f t="shared" si="44"/>
        <v>4948</v>
      </c>
      <c r="AI19" s="394">
        <f t="shared" si="10"/>
        <v>0</v>
      </c>
      <c r="AJ19" s="394">
        <f t="shared" si="11"/>
        <v>0</v>
      </c>
      <c r="AK19" s="395">
        <f t="shared" si="12"/>
        <v>0</v>
      </c>
      <c r="AM19" s="396">
        <f t="shared" si="13"/>
        <v>4948</v>
      </c>
      <c r="AP19" s="366">
        <f t="shared" si="31"/>
        <v>2020</v>
      </c>
      <c r="AQ19" s="393">
        <f t="shared" si="14"/>
        <v>3324</v>
      </c>
      <c r="AR19" s="393">
        <f t="shared" si="15"/>
        <v>1624</v>
      </c>
      <c r="AS19" s="397">
        <f t="shared" si="16"/>
        <v>2.8000000000000001E-2</v>
      </c>
      <c r="AT19" s="398">
        <f t="shared" si="45"/>
        <v>2787</v>
      </c>
      <c r="AU19" s="387">
        <f t="shared" si="17"/>
        <v>0.40100000000000002</v>
      </c>
      <c r="AV19" s="393">
        <f t="shared" si="18"/>
        <v>435</v>
      </c>
      <c r="AW19" s="397"/>
      <c r="AX19" s="399"/>
      <c r="AY19" s="393">
        <f t="shared" si="32"/>
        <v>8170</v>
      </c>
      <c r="AZ19" s="381"/>
      <c r="BA19" s="393">
        <v>0</v>
      </c>
      <c r="BB19" s="393">
        <v>0</v>
      </c>
      <c r="BC19" s="400">
        <f t="shared" si="33"/>
        <v>0</v>
      </c>
      <c r="BD19" s="393">
        <f t="shared" si="19"/>
        <v>8170</v>
      </c>
      <c r="BG19" s="366">
        <f t="shared" si="34"/>
        <v>2020</v>
      </c>
      <c r="BH19" s="393">
        <v>0</v>
      </c>
      <c r="BI19" s="369">
        <f t="shared" si="20"/>
        <v>1086</v>
      </c>
      <c r="BJ19" s="401">
        <f t="shared" si="21"/>
        <v>7.3410000000000002</v>
      </c>
      <c r="BK19" s="393">
        <f t="shared" si="46"/>
        <v>7972</v>
      </c>
      <c r="BL19" s="401">
        <f t="shared" si="22"/>
        <v>0.17499999999999999</v>
      </c>
      <c r="BM19" s="398">
        <f t="shared" si="49"/>
        <v>17422</v>
      </c>
      <c r="BN19" s="402"/>
      <c r="BO19" s="393">
        <f t="shared" si="23"/>
        <v>25394</v>
      </c>
      <c r="BQ19" s="393">
        <f t="shared" si="50"/>
        <v>0</v>
      </c>
      <c r="BR19" s="393"/>
      <c r="BS19" s="393">
        <f t="shared" si="35"/>
        <v>25394</v>
      </c>
      <c r="BV19" s="366">
        <f t="shared" si="36"/>
        <v>2020</v>
      </c>
      <c r="BW19" s="393">
        <f t="shared" si="24"/>
        <v>3324</v>
      </c>
      <c r="BX19" s="369">
        <f t="shared" si="25"/>
        <v>1624</v>
      </c>
      <c r="BY19" s="403">
        <f t="shared" si="37"/>
        <v>2787</v>
      </c>
      <c r="BZ19" s="393">
        <f t="shared" si="38"/>
        <v>7735</v>
      </c>
      <c r="CB19" s="393">
        <f t="shared" si="39"/>
        <v>0</v>
      </c>
      <c r="CC19" s="393">
        <f t="shared" si="39"/>
        <v>0</v>
      </c>
      <c r="CD19" s="393">
        <f t="shared" si="40"/>
        <v>0</v>
      </c>
      <c r="CE19" s="393"/>
      <c r="CF19" s="393">
        <f t="shared" si="47"/>
        <v>7735</v>
      </c>
    </row>
    <row r="20" spans="1:105">
      <c r="A20" s="185" t="s">
        <v>66</v>
      </c>
      <c r="C20" s="406">
        <f>+'Gas Input Table Summary'!$D$14</f>
        <v>142.21</v>
      </c>
      <c r="E20" s="185" t="s">
        <v>67</v>
      </c>
      <c r="F20" s="195">
        <f>+'Gas Input Table Summary'!$D$41</f>
        <v>0</v>
      </c>
      <c r="G20" s="195"/>
      <c r="H20" s="195"/>
      <c r="J20" s="333">
        <f t="shared" si="26"/>
        <v>7</v>
      </c>
      <c r="L20" s="366">
        <f t="shared" si="27"/>
        <v>2021</v>
      </c>
      <c r="M20" s="386">
        <f t="shared" si="48"/>
        <v>1086</v>
      </c>
      <c r="N20" s="387">
        <f t="shared" si="41"/>
        <v>3.1680000000000001</v>
      </c>
      <c r="O20" s="388">
        <f t="shared" si="0"/>
        <v>3440</v>
      </c>
      <c r="P20" s="387">
        <f t="shared" si="1"/>
        <v>0</v>
      </c>
      <c r="Q20" s="389">
        <f t="shared" si="28"/>
        <v>0</v>
      </c>
      <c r="R20" s="390">
        <f t="shared" si="2"/>
        <v>3440</v>
      </c>
      <c r="S20" s="372">
        <f t="shared" si="3"/>
        <v>10.9</v>
      </c>
      <c r="T20" s="389">
        <f t="shared" si="42"/>
        <v>151</v>
      </c>
      <c r="U20" s="391">
        <f t="shared" si="43"/>
        <v>1646</v>
      </c>
      <c r="V20" s="386">
        <f t="shared" si="29"/>
        <v>5086</v>
      </c>
      <c r="W20" s="392">
        <f t="shared" si="4"/>
        <v>2.2189999999999999</v>
      </c>
      <c r="X20" s="393">
        <f t="shared" si="5"/>
        <v>1566</v>
      </c>
      <c r="Y20" s="393">
        <v>0</v>
      </c>
      <c r="Z20" s="393">
        <v>0</v>
      </c>
      <c r="AA20" s="389">
        <f t="shared" si="6"/>
        <v>1566</v>
      </c>
      <c r="AB20" s="393">
        <f t="shared" si="7"/>
        <v>3520</v>
      </c>
      <c r="AD20" s="366">
        <f t="shared" si="30"/>
        <v>2021</v>
      </c>
      <c r="AE20" s="393">
        <f t="shared" si="8"/>
        <v>3440</v>
      </c>
      <c r="AF20" s="368">
        <f t="shared" si="9"/>
        <v>1646</v>
      </c>
      <c r="AG20" s="393">
        <f t="shared" si="44"/>
        <v>5086</v>
      </c>
      <c r="AI20" s="394">
        <f t="shared" si="10"/>
        <v>0</v>
      </c>
      <c r="AJ20" s="394">
        <f t="shared" si="11"/>
        <v>0</v>
      </c>
      <c r="AK20" s="395">
        <f t="shared" si="12"/>
        <v>0</v>
      </c>
      <c r="AM20" s="396">
        <f t="shared" si="13"/>
        <v>5086</v>
      </c>
      <c r="AP20" s="366">
        <f t="shared" si="31"/>
        <v>2021</v>
      </c>
      <c r="AQ20" s="393">
        <f t="shared" si="14"/>
        <v>3440</v>
      </c>
      <c r="AR20" s="393">
        <f t="shared" si="15"/>
        <v>1646</v>
      </c>
      <c r="AS20" s="397">
        <f t="shared" si="16"/>
        <v>2.9000000000000001E-2</v>
      </c>
      <c r="AT20" s="398">
        <f t="shared" si="45"/>
        <v>2887</v>
      </c>
      <c r="AU20" s="387">
        <f t="shared" si="17"/>
        <v>0.41</v>
      </c>
      <c r="AV20" s="393">
        <f t="shared" si="18"/>
        <v>445</v>
      </c>
      <c r="AW20" s="397"/>
      <c r="AX20" s="399"/>
      <c r="AY20" s="393">
        <f t="shared" si="32"/>
        <v>8418</v>
      </c>
      <c r="AZ20" s="381"/>
      <c r="BA20" s="393">
        <v>0</v>
      </c>
      <c r="BB20" s="393">
        <v>0</v>
      </c>
      <c r="BC20" s="400">
        <f t="shared" si="33"/>
        <v>0</v>
      </c>
      <c r="BD20" s="393">
        <f t="shared" si="19"/>
        <v>8418</v>
      </c>
      <c r="BG20" s="366">
        <f t="shared" si="34"/>
        <v>2021</v>
      </c>
      <c r="BH20" s="393">
        <v>0</v>
      </c>
      <c r="BI20" s="369">
        <f t="shared" si="20"/>
        <v>1086</v>
      </c>
      <c r="BJ20" s="401">
        <f t="shared" si="21"/>
        <v>7.5979999999999999</v>
      </c>
      <c r="BK20" s="393">
        <f t="shared" si="46"/>
        <v>8251</v>
      </c>
      <c r="BL20" s="401">
        <f t="shared" si="22"/>
        <v>0.18099999999999999</v>
      </c>
      <c r="BM20" s="398">
        <f t="shared" si="49"/>
        <v>18019</v>
      </c>
      <c r="BN20" s="402"/>
      <c r="BO20" s="393">
        <f t="shared" si="23"/>
        <v>26270</v>
      </c>
      <c r="BQ20" s="393">
        <f t="shared" si="50"/>
        <v>0</v>
      </c>
      <c r="BR20" s="393"/>
      <c r="BS20" s="393">
        <f t="shared" si="35"/>
        <v>26270</v>
      </c>
      <c r="BV20" s="366">
        <f t="shared" si="36"/>
        <v>2021</v>
      </c>
      <c r="BW20" s="393">
        <f t="shared" si="24"/>
        <v>3440</v>
      </c>
      <c r="BX20" s="369">
        <f t="shared" si="25"/>
        <v>1646</v>
      </c>
      <c r="BY20" s="403">
        <f t="shared" si="37"/>
        <v>2887</v>
      </c>
      <c r="BZ20" s="393">
        <f t="shared" si="38"/>
        <v>7973</v>
      </c>
      <c r="CB20" s="393">
        <f t="shared" si="39"/>
        <v>0</v>
      </c>
      <c r="CC20" s="393">
        <f t="shared" si="39"/>
        <v>0</v>
      </c>
      <c r="CD20" s="393">
        <f t="shared" si="40"/>
        <v>0</v>
      </c>
      <c r="CE20" s="393"/>
      <c r="CF20" s="393">
        <f t="shared" si="47"/>
        <v>7973</v>
      </c>
      <c r="DA20" s="366"/>
    </row>
    <row r="21" spans="1:105">
      <c r="A21" s="185" t="s">
        <v>18</v>
      </c>
      <c r="C21" s="358">
        <f>+'Gas Input Table Summary'!$D$15</f>
        <v>0.01</v>
      </c>
      <c r="E21" s="187" t="s">
        <v>65</v>
      </c>
      <c r="F21" s="405">
        <f>+'Gas Input Table Summary'!$D$44</f>
        <v>0</v>
      </c>
      <c r="G21" s="405"/>
      <c r="H21" s="405"/>
      <c r="J21" s="333">
        <f t="shared" si="26"/>
        <v>8</v>
      </c>
      <c r="L21" s="366">
        <f t="shared" si="27"/>
        <v>2022</v>
      </c>
      <c r="M21" s="386">
        <f t="shared" si="48"/>
        <v>1086</v>
      </c>
      <c r="N21" s="387">
        <f t="shared" si="41"/>
        <v>3.2789999999999999</v>
      </c>
      <c r="O21" s="388">
        <f t="shared" si="0"/>
        <v>3561</v>
      </c>
      <c r="P21" s="387">
        <f t="shared" si="1"/>
        <v>0</v>
      </c>
      <c r="Q21" s="389">
        <f t="shared" si="28"/>
        <v>0</v>
      </c>
      <c r="R21" s="390">
        <f t="shared" si="2"/>
        <v>3561</v>
      </c>
      <c r="S21" s="372">
        <f t="shared" si="3"/>
        <v>10.9</v>
      </c>
      <c r="T21" s="389">
        <f t="shared" si="42"/>
        <v>152</v>
      </c>
      <c r="U21" s="391">
        <f t="shared" si="43"/>
        <v>1657</v>
      </c>
      <c r="V21" s="386">
        <f t="shared" si="29"/>
        <v>5218</v>
      </c>
      <c r="W21" s="392">
        <f t="shared" si="4"/>
        <v>2.2970000000000002</v>
      </c>
      <c r="X21" s="393">
        <f t="shared" si="5"/>
        <v>1621</v>
      </c>
      <c r="Y21" s="393">
        <v>0</v>
      </c>
      <c r="Z21" s="393">
        <v>0</v>
      </c>
      <c r="AA21" s="389">
        <f t="shared" si="6"/>
        <v>1621</v>
      </c>
      <c r="AB21" s="393">
        <f t="shared" si="7"/>
        <v>3597</v>
      </c>
      <c r="AD21" s="366">
        <f t="shared" si="30"/>
        <v>2022</v>
      </c>
      <c r="AE21" s="393">
        <f t="shared" si="8"/>
        <v>3561</v>
      </c>
      <c r="AF21" s="368">
        <f t="shared" si="9"/>
        <v>1657</v>
      </c>
      <c r="AG21" s="393">
        <f t="shared" si="44"/>
        <v>5218</v>
      </c>
      <c r="AI21" s="394">
        <f t="shared" si="10"/>
        <v>0</v>
      </c>
      <c r="AJ21" s="394">
        <f t="shared" si="11"/>
        <v>0</v>
      </c>
      <c r="AK21" s="395">
        <f t="shared" si="12"/>
        <v>0</v>
      </c>
      <c r="AM21" s="396">
        <f t="shared" si="13"/>
        <v>5218</v>
      </c>
      <c r="AP21" s="366">
        <f t="shared" si="31"/>
        <v>2022</v>
      </c>
      <c r="AQ21" s="393">
        <f t="shared" si="14"/>
        <v>3561</v>
      </c>
      <c r="AR21" s="393">
        <f t="shared" si="15"/>
        <v>1657</v>
      </c>
      <c r="AS21" s="397">
        <f t="shared" si="16"/>
        <v>0.03</v>
      </c>
      <c r="AT21" s="398">
        <f t="shared" si="45"/>
        <v>2987</v>
      </c>
      <c r="AU21" s="387">
        <f t="shared" si="17"/>
        <v>0.42</v>
      </c>
      <c r="AV21" s="393">
        <f t="shared" si="18"/>
        <v>456</v>
      </c>
      <c r="AW21" s="397"/>
      <c r="AX21" s="399"/>
      <c r="AY21" s="393">
        <f t="shared" si="32"/>
        <v>8661</v>
      </c>
      <c r="AZ21" s="381"/>
      <c r="BA21" s="393">
        <v>0</v>
      </c>
      <c r="BB21" s="393">
        <v>0</v>
      </c>
      <c r="BC21" s="400">
        <f t="shared" si="33"/>
        <v>0</v>
      </c>
      <c r="BD21" s="393">
        <f t="shared" si="19"/>
        <v>8661</v>
      </c>
      <c r="BG21" s="366">
        <f t="shared" si="34"/>
        <v>2022</v>
      </c>
      <c r="BH21" s="393">
        <v>0</v>
      </c>
      <c r="BI21" s="369">
        <f t="shared" si="20"/>
        <v>1086</v>
      </c>
      <c r="BJ21" s="401">
        <f t="shared" si="21"/>
        <v>7.8639999999999999</v>
      </c>
      <c r="BK21" s="393">
        <f t="shared" si="46"/>
        <v>8540</v>
      </c>
      <c r="BL21" s="401">
        <f t="shared" si="22"/>
        <v>0.187</v>
      </c>
      <c r="BM21" s="398">
        <f t="shared" si="49"/>
        <v>18616</v>
      </c>
      <c r="BN21" s="402"/>
      <c r="BO21" s="393">
        <f t="shared" si="23"/>
        <v>27156</v>
      </c>
      <c r="BQ21" s="393">
        <f t="shared" si="50"/>
        <v>0</v>
      </c>
      <c r="BR21" s="393"/>
      <c r="BS21" s="393">
        <f t="shared" si="35"/>
        <v>27156</v>
      </c>
      <c r="BV21" s="366">
        <f t="shared" si="36"/>
        <v>2022</v>
      </c>
      <c r="BW21" s="393">
        <f t="shared" si="24"/>
        <v>3561</v>
      </c>
      <c r="BX21" s="369">
        <f t="shared" si="25"/>
        <v>1657</v>
      </c>
      <c r="BY21" s="403">
        <f t="shared" si="37"/>
        <v>2987</v>
      </c>
      <c r="BZ21" s="393">
        <f t="shared" si="38"/>
        <v>8205</v>
      </c>
      <c r="CB21" s="393">
        <f t="shared" si="39"/>
        <v>0</v>
      </c>
      <c r="CC21" s="393">
        <f t="shared" si="39"/>
        <v>0</v>
      </c>
      <c r="CD21" s="393">
        <f t="shared" si="40"/>
        <v>0</v>
      </c>
      <c r="CE21" s="393"/>
      <c r="CF21" s="393">
        <f t="shared" si="47"/>
        <v>8205</v>
      </c>
      <c r="DA21" s="333">
        <f>$J14</f>
        <v>1</v>
      </c>
    </row>
    <row r="22" spans="1:105">
      <c r="F22" s="368"/>
      <c r="G22" s="368"/>
      <c r="H22" s="368"/>
      <c r="J22" s="333">
        <f t="shared" si="26"/>
        <v>9</v>
      </c>
      <c r="L22" s="366">
        <f t="shared" si="27"/>
        <v>2023</v>
      </c>
      <c r="M22" s="386">
        <f t="shared" si="48"/>
        <v>1086</v>
      </c>
      <c r="N22" s="387">
        <f t="shared" si="41"/>
        <v>3.3929999999999998</v>
      </c>
      <c r="O22" s="388">
        <f t="shared" si="0"/>
        <v>3685</v>
      </c>
      <c r="P22" s="387">
        <f t="shared" si="1"/>
        <v>0</v>
      </c>
      <c r="Q22" s="389">
        <f t="shared" si="28"/>
        <v>0</v>
      </c>
      <c r="R22" s="390">
        <f t="shared" si="2"/>
        <v>3685</v>
      </c>
      <c r="S22" s="372">
        <f t="shared" si="3"/>
        <v>10.9</v>
      </c>
      <c r="T22" s="389">
        <f t="shared" si="42"/>
        <v>154</v>
      </c>
      <c r="U22" s="391">
        <f t="shared" si="43"/>
        <v>1679</v>
      </c>
      <c r="V22" s="386">
        <f t="shared" si="29"/>
        <v>5364</v>
      </c>
      <c r="W22" s="392">
        <f t="shared" si="4"/>
        <v>2.3769999999999998</v>
      </c>
      <c r="X22" s="393">
        <f t="shared" si="5"/>
        <v>1678</v>
      </c>
      <c r="Y22" s="393">
        <v>0</v>
      </c>
      <c r="Z22" s="393">
        <v>0</v>
      </c>
      <c r="AA22" s="389">
        <f t="shared" si="6"/>
        <v>1678</v>
      </c>
      <c r="AB22" s="393">
        <f t="shared" si="7"/>
        <v>3686</v>
      </c>
      <c r="AD22" s="366">
        <f t="shared" si="30"/>
        <v>2023</v>
      </c>
      <c r="AE22" s="393">
        <f t="shared" si="8"/>
        <v>3685</v>
      </c>
      <c r="AF22" s="368">
        <f t="shared" si="9"/>
        <v>1679</v>
      </c>
      <c r="AG22" s="393">
        <f t="shared" si="44"/>
        <v>5364</v>
      </c>
      <c r="AI22" s="394">
        <f t="shared" si="10"/>
        <v>0</v>
      </c>
      <c r="AJ22" s="394">
        <f t="shared" si="11"/>
        <v>0</v>
      </c>
      <c r="AK22" s="395">
        <f t="shared" si="12"/>
        <v>0</v>
      </c>
      <c r="AM22" s="396">
        <f t="shared" si="13"/>
        <v>5364</v>
      </c>
      <c r="AP22" s="366">
        <f t="shared" si="31"/>
        <v>2023</v>
      </c>
      <c r="AQ22" s="393">
        <f t="shared" si="14"/>
        <v>3685</v>
      </c>
      <c r="AR22" s="393">
        <f t="shared" si="15"/>
        <v>1679</v>
      </c>
      <c r="AS22" s="397">
        <f t="shared" si="16"/>
        <v>3.1E-2</v>
      </c>
      <c r="AT22" s="398">
        <f t="shared" si="45"/>
        <v>3086</v>
      </c>
      <c r="AU22" s="387">
        <f t="shared" si="17"/>
        <v>0.42899999999999999</v>
      </c>
      <c r="AV22" s="393">
        <f t="shared" si="18"/>
        <v>466</v>
      </c>
      <c r="AW22" s="397"/>
      <c r="AX22" s="399"/>
      <c r="AY22" s="393">
        <f t="shared" si="32"/>
        <v>8916</v>
      </c>
      <c r="AZ22" s="381"/>
      <c r="BA22" s="393">
        <v>0</v>
      </c>
      <c r="BB22" s="393">
        <v>0</v>
      </c>
      <c r="BC22" s="400">
        <f t="shared" si="33"/>
        <v>0</v>
      </c>
      <c r="BD22" s="393">
        <f t="shared" si="19"/>
        <v>8916</v>
      </c>
      <c r="BG22" s="366">
        <f t="shared" si="34"/>
        <v>2023</v>
      </c>
      <c r="BH22" s="393">
        <v>0</v>
      </c>
      <c r="BI22" s="369">
        <f t="shared" si="20"/>
        <v>1086</v>
      </c>
      <c r="BJ22" s="401">
        <f t="shared" si="21"/>
        <v>8.1389999999999993</v>
      </c>
      <c r="BK22" s="393">
        <f t="shared" si="46"/>
        <v>8839</v>
      </c>
      <c r="BL22" s="401">
        <f t="shared" si="22"/>
        <v>0.19400000000000001</v>
      </c>
      <c r="BM22" s="398">
        <f t="shared" si="49"/>
        <v>19313</v>
      </c>
      <c r="BN22" s="402"/>
      <c r="BO22" s="393">
        <f t="shared" si="23"/>
        <v>28152</v>
      </c>
      <c r="BQ22" s="393">
        <f t="shared" si="50"/>
        <v>0</v>
      </c>
      <c r="BR22" s="393"/>
      <c r="BS22" s="393">
        <f t="shared" si="35"/>
        <v>28152</v>
      </c>
      <c r="BV22" s="366">
        <f t="shared" si="36"/>
        <v>2023</v>
      </c>
      <c r="BW22" s="393">
        <f t="shared" si="24"/>
        <v>3685</v>
      </c>
      <c r="BX22" s="369">
        <f t="shared" si="25"/>
        <v>1679</v>
      </c>
      <c r="BY22" s="403">
        <f t="shared" si="37"/>
        <v>3086</v>
      </c>
      <c r="BZ22" s="393">
        <f t="shared" si="38"/>
        <v>8450</v>
      </c>
      <c r="CB22" s="393">
        <f t="shared" si="39"/>
        <v>0</v>
      </c>
      <c r="CC22" s="393">
        <f t="shared" si="39"/>
        <v>0</v>
      </c>
      <c r="CD22" s="393">
        <f t="shared" si="40"/>
        <v>0</v>
      </c>
      <c r="CE22" s="393"/>
      <c r="CF22" s="393">
        <f t="shared" si="47"/>
        <v>8450</v>
      </c>
      <c r="DA22" s="333">
        <f>$J15</f>
        <v>2</v>
      </c>
    </row>
    <row r="23" spans="1:105">
      <c r="A23" s="185" t="s">
        <v>68</v>
      </c>
      <c r="C23" s="407">
        <f>+'Gas Input Table Summary'!$D$16</f>
        <v>0.01</v>
      </c>
      <c r="E23" s="185" t="s">
        <v>69</v>
      </c>
      <c r="F23" s="408">
        <f>ROUND('Database Inputs'!D10,0)</f>
        <v>20</v>
      </c>
      <c r="G23" s="408"/>
      <c r="H23" s="408"/>
      <c r="J23" s="333">
        <f t="shared" si="26"/>
        <v>10</v>
      </c>
      <c r="L23" s="366">
        <f t="shared" si="27"/>
        <v>2024</v>
      </c>
      <c r="M23" s="386">
        <f t="shared" si="48"/>
        <v>1086</v>
      </c>
      <c r="N23" s="387">
        <f t="shared" si="41"/>
        <v>3.512</v>
      </c>
      <c r="O23" s="388">
        <f t="shared" si="0"/>
        <v>3814</v>
      </c>
      <c r="P23" s="387">
        <f t="shared" si="1"/>
        <v>0</v>
      </c>
      <c r="Q23" s="389">
        <f t="shared" si="28"/>
        <v>0</v>
      </c>
      <c r="R23" s="390">
        <f t="shared" si="2"/>
        <v>3814</v>
      </c>
      <c r="S23" s="372">
        <f t="shared" si="3"/>
        <v>10.9</v>
      </c>
      <c r="T23" s="389">
        <f t="shared" si="42"/>
        <v>156</v>
      </c>
      <c r="U23" s="391">
        <f t="shared" si="43"/>
        <v>1700</v>
      </c>
      <c r="V23" s="386">
        <f t="shared" si="29"/>
        <v>5514</v>
      </c>
      <c r="W23" s="392">
        <f t="shared" si="4"/>
        <v>2.46</v>
      </c>
      <c r="X23" s="393">
        <f t="shared" si="5"/>
        <v>1737</v>
      </c>
      <c r="Y23" s="393">
        <v>0</v>
      </c>
      <c r="Z23" s="393">
        <v>0</v>
      </c>
      <c r="AA23" s="389">
        <f t="shared" si="6"/>
        <v>1737</v>
      </c>
      <c r="AB23" s="393">
        <f t="shared" si="7"/>
        <v>3777</v>
      </c>
      <c r="AD23" s="366">
        <f t="shared" si="30"/>
        <v>2024</v>
      </c>
      <c r="AE23" s="393">
        <f t="shared" si="8"/>
        <v>3814</v>
      </c>
      <c r="AF23" s="368">
        <f t="shared" si="9"/>
        <v>1700</v>
      </c>
      <c r="AG23" s="393">
        <f t="shared" si="44"/>
        <v>5514</v>
      </c>
      <c r="AI23" s="394">
        <f t="shared" si="10"/>
        <v>0</v>
      </c>
      <c r="AJ23" s="394">
        <f t="shared" si="11"/>
        <v>0</v>
      </c>
      <c r="AK23" s="395">
        <f t="shared" si="12"/>
        <v>0</v>
      </c>
      <c r="AM23" s="396">
        <f t="shared" si="13"/>
        <v>5514</v>
      </c>
      <c r="AP23" s="366">
        <f t="shared" si="31"/>
        <v>2024</v>
      </c>
      <c r="AQ23" s="393">
        <f t="shared" si="14"/>
        <v>3814</v>
      </c>
      <c r="AR23" s="393">
        <f t="shared" si="15"/>
        <v>1700</v>
      </c>
      <c r="AS23" s="397">
        <f t="shared" si="16"/>
        <v>3.2000000000000001E-2</v>
      </c>
      <c r="AT23" s="398">
        <f t="shared" si="45"/>
        <v>3186</v>
      </c>
      <c r="AU23" s="387">
        <f t="shared" si="17"/>
        <v>0.439</v>
      </c>
      <c r="AV23" s="393">
        <f t="shared" si="18"/>
        <v>477</v>
      </c>
      <c r="AW23" s="397"/>
      <c r="AX23" s="399"/>
      <c r="AY23" s="393">
        <f t="shared" si="32"/>
        <v>9177</v>
      </c>
      <c r="AZ23" s="381"/>
      <c r="BA23" s="393">
        <v>0</v>
      </c>
      <c r="BB23" s="393">
        <v>0</v>
      </c>
      <c r="BC23" s="400">
        <f t="shared" si="33"/>
        <v>0</v>
      </c>
      <c r="BD23" s="393">
        <f t="shared" si="19"/>
        <v>9177</v>
      </c>
      <c r="BG23" s="366">
        <f t="shared" si="34"/>
        <v>2024</v>
      </c>
      <c r="BH23" s="393">
        <v>0</v>
      </c>
      <c r="BI23" s="369">
        <f t="shared" si="20"/>
        <v>1086</v>
      </c>
      <c r="BJ23" s="401">
        <f t="shared" si="21"/>
        <v>8.4239999999999995</v>
      </c>
      <c r="BK23" s="393">
        <f t="shared" si="46"/>
        <v>9148</v>
      </c>
      <c r="BL23" s="401">
        <f t="shared" si="22"/>
        <v>0.2</v>
      </c>
      <c r="BM23" s="398">
        <f t="shared" si="49"/>
        <v>19910</v>
      </c>
      <c r="BN23" s="402"/>
      <c r="BO23" s="393">
        <f t="shared" si="23"/>
        <v>29058</v>
      </c>
      <c r="BQ23" s="393">
        <f t="shared" si="50"/>
        <v>0</v>
      </c>
      <c r="BR23" s="393"/>
      <c r="BS23" s="393">
        <f t="shared" si="35"/>
        <v>29058</v>
      </c>
      <c r="BV23" s="366">
        <f t="shared" si="36"/>
        <v>2024</v>
      </c>
      <c r="BW23" s="393">
        <f t="shared" si="24"/>
        <v>3814</v>
      </c>
      <c r="BX23" s="369">
        <f t="shared" si="25"/>
        <v>1700</v>
      </c>
      <c r="BY23" s="403">
        <f t="shared" si="37"/>
        <v>3186</v>
      </c>
      <c r="BZ23" s="393">
        <f t="shared" si="38"/>
        <v>8700</v>
      </c>
      <c r="CB23" s="393">
        <f t="shared" si="39"/>
        <v>0</v>
      </c>
      <c r="CC23" s="393">
        <f t="shared" si="39"/>
        <v>0</v>
      </c>
      <c r="CD23" s="393">
        <f t="shared" si="40"/>
        <v>0</v>
      </c>
      <c r="CE23" s="393"/>
      <c r="CF23" s="393">
        <f t="shared" si="47"/>
        <v>8700</v>
      </c>
      <c r="DA23" s="333">
        <f>$J16</f>
        <v>3</v>
      </c>
    </row>
    <row r="24" spans="1:105">
      <c r="F24" s="368"/>
      <c r="G24" s="368"/>
      <c r="H24" s="368"/>
      <c r="J24" s="333">
        <f t="shared" si="26"/>
        <v>11</v>
      </c>
      <c r="L24" s="366">
        <f t="shared" si="27"/>
        <v>2025</v>
      </c>
      <c r="M24" s="386">
        <f t="shared" si="48"/>
        <v>1086</v>
      </c>
      <c r="N24" s="387">
        <f t="shared" si="41"/>
        <v>3.6349999999999998</v>
      </c>
      <c r="O24" s="388">
        <f t="shared" si="0"/>
        <v>3948</v>
      </c>
      <c r="P24" s="387">
        <f t="shared" si="1"/>
        <v>0</v>
      </c>
      <c r="Q24" s="389">
        <f t="shared" si="28"/>
        <v>0</v>
      </c>
      <c r="R24" s="390">
        <f t="shared" si="2"/>
        <v>3948</v>
      </c>
      <c r="S24" s="372">
        <f t="shared" si="3"/>
        <v>10.9</v>
      </c>
      <c r="T24" s="389">
        <f t="shared" si="42"/>
        <v>157</v>
      </c>
      <c r="U24" s="391">
        <f t="shared" si="43"/>
        <v>1711</v>
      </c>
      <c r="V24" s="386">
        <f t="shared" si="29"/>
        <v>5659</v>
      </c>
      <c r="W24" s="392">
        <f t="shared" si="4"/>
        <v>2.5459999999999998</v>
      </c>
      <c r="X24" s="393">
        <f t="shared" si="5"/>
        <v>1797</v>
      </c>
      <c r="Y24" s="393">
        <v>0</v>
      </c>
      <c r="Z24" s="393">
        <v>0</v>
      </c>
      <c r="AA24" s="389">
        <f t="shared" si="6"/>
        <v>1797</v>
      </c>
      <c r="AB24" s="393">
        <f t="shared" si="7"/>
        <v>3862</v>
      </c>
      <c r="AD24" s="366">
        <f t="shared" si="30"/>
        <v>2025</v>
      </c>
      <c r="AE24" s="393">
        <f t="shared" si="8"/>
        <v>3948</v>
      </c>
      <c r="AF24" s="368">
        <f t="shared" si="9"/>
        <v>1711</v>
      </c>
      <c r="AG24" s="393">
        <f t="shared" si="44"/>
        <v>5659</v>
      </c>
      <c r="AI24" s="394">
        <f t="shared" si="10"/>
        <v>0</v>
      </c>
      <c r="AJ24" s="394">
        <f t="shared" si="11"/>
        <v>0</v>
      </c>
      <c r="AK24" s="395">
        <f t="shared" si="12"/>
        <v>0</v>
      </c>
      <c r="AM24" s="396">
        <f t="shared" si="13"/>
        <v>5659</v>
      </c>
      <c r="AP24" s="366">
        <f t="shared" si="31"/>
        <v>2025</v>
      </c>
      <c r="AQ24" s="393">
        <f t="shared" si="14"/>
        <v>3948</v>
      </c>
      <c r="AR24" s="393">
        <f t="shared" si="15"/>
        <v>1711</v>
      </c>
      <c r="AS24" s="397">
        <f t="shared" si="16"/>
        <v>3.4000000000000002E-2</v>
      </c>
      <c r="AT24" s="398">
        <f t="shared" si="45"/>
        <v>3385</v>
      </c>
      <c r="AU24" s="387">
        <f t="shared" si="17"/>
        <v>0.44900000000000001</v>
      </c>
      <c r="AV24" s="393">
        <f t="shared" si="18"/>
        <v>488</v>
      </c>
      <c r="AW24" s="397"/>
      <c r="AX24" s="399"/>
      <c r="AY24" s="393">
        <f t="shared" si="32"/>
        <v>9532</v>
      </c>
      <c r="AZ24" s="381"/>
      <c r="BA24" s="393">
        <v>0</v>
      </c>
      <c r="BB24" s="393">
        <v>0</v>
      </c>
      <c r="BC24" s="400">
        <f t="shared" si="33"/>
        <v>0</v>
      </c>
      <c r="BD24" s="393">
        <f t="shared" si="19"/>
        <v>9532</v>
      </c>
      <c r="BG24" s="366">
        <f t="shared" si="34"/>
        <v>2025</v>
      </c>
      <c r="BH24" s="393">
        <v>0</v>
      </c>
      <c r="BI24" s="369">
        <f t="shared" si="20"/>
        <v>1086</v>
      </c>
      <c r="BJ24" s="401">
        <f t="shared" si="21"/>
        <v>8.7189999999999994</v>
      </c>
      <c r="BK24" s="393">
        <f t="shared" si="46"/>
        <v>9469</v>
      </c>
      <c r="BL24" s="401">
        <f t="shared" si="22"/>
        <v>0.20699999999999999</v>
      </c>
      <c r="BM24" s="398">
        <f t="shared" si="49"/>
        <v>20607</v>
      </c>
      <c r="BN24" s="402"/>
      <c r="BO24" s="393">
        <f t="shared" si="23"/>
        <v>30076</v>
      </c>
      <c r="BQ24" s="393">
        <f t="shared" si="50"/>
        <v>0</v>
      </c>
      <c r="BR24" s="393"/>
      <c r="BS24" s="393">
        <f t="shared" si="35"/>
        <v>30076</v>
      </c>
      <c r="BV24" s="366">
        <f t="shared" si="36"/>
        <v>2025</v>
      </c>
      <c r="BW24" s="393">
        <f t="shared" si="24"/>
        <v>3948</v>
      </c>
      <c r="BX24" s="369">
        <f t="shared" si="25"/>
        <v>1711</v>
      </c>
      <c r="BY24" s="403">
        <f t="shared" si="37"/>
        <v>3385</v>
      </c>
      <c r="BZ24" s="393">
        <f t="shared" si="38"/>
        <v>9044</v>
      </c>
      <c r="CB24" s="393">
        <f t="shared" si="39"/>
        <v>0</v>
      </c>
      <c r="CC24" s="393">
        <f t="shared" si="39"/>
        <v>0</v>
      </c>
      <c r="CD24" s="393">
        <f t="shared" si="40"/>
        <v>0</v>
      </c>
      <c r="CE24" s="393"/>
      <c r="CF24" s="393">
        <f t="shared" si="47"/>
        <v>9044</v>
      </c>
      <c r="DA24" s="333">
        <f>$J17</f>
        <v>4</v>
      </c>
    </row>
    <row r="25" spans="1:105">
      <c r="A25" s="187" t="s">
        <v>106</v>
      </c>
      <c r="C25" s="356">
        <f>+'Gas Input Table Summary'!$D$17</f>
        <v>0</v>
      </c>
      <c r="E25" s="193" t="s">
        <v>102</v>
      </c>
      <c r="F25" s="197">
        <f>+ROUND(F32/F30,3)</f>
        <v>7.9850000000000003</v>
      </c>
      <c r="G25" s="197"/>
      <c r="H25" s="197"/>
      <c r="J25" s="333">
        <f t="shared" si="26"/>
        <v>12</v>
      </c>
      <c r="L25" s="366">
        <f t="shared" si="27"/>
        <v>2026</v>
      </c>
      <c r="M25" s="386">
        <f t="shared" si="48"/>
        <v>1086</v>
      </c>
      <c r="N25" s="387">
        <f t="shared" si="41"/>
        <v>3.762</v>
      </c>
      <c r="O25" s="388">
        <f t="shared" si="0"/>
        <v>4086</v>
      </c>
      <c r="P25" s="387">
        <f t="shared" si="1"/>
        <v>0</v>
      </c>
      <c r="Q25" s="389">
        <f t="shared" si="28"/>
        <v>0</v>
      </c>
      <c r="R25" s="390">
        <f t="shared" si="2"/>
        <v>4086</v>
      </c>
      <c r="S25" s="372">
        <f t="shared" si="3"/>
        <v>10.9</v>
      </c>
      <c r="T25" s="389">
        <f t="shared" si="42"/>
        <v>159</v>
      </c>
      <c r="U25" s="391">
        <f t="shared" si="43"/>
        <v>1733</v>
      </c>
      <c r="V25" s="386">
        <f t="shared" si="29"/>
        <v>5819</v>
      </c>
      <c r="W25" s="392">
        <f t="shared" si="4"/>
        <v>2.6349999999999998</v>
      </c>
      <c r="X25" s="393">
        <f t="shared" si="5"/>
        <v>1860</v>
      </c>
      <c r="Y25" s="393">
        <v>0</v>
      </c>
      <c r="Z25" s="393">
        <v>0</v>
      </c>
      <c r="AA25" s="389">
        <f t="shared" si="6"/>
        <v>1860</v>
      </c>
      <c r="AB25" s="393">
        <f t="shared" si="7"/>
        <v>3959</v>
      </c>
      <c r="AD25" s="366">
        <f t="shared" si="30"/>
        <v>2026</v>
      </c>
      <c r="AE25" s="393">
        <f t="shared" si="8"/>
        <v>4086</v>
      </c>
      <c r="AF25" s="368">
        <f t="shared" si="9"/>
        <v>1733</v>
      </c>
      <c r="AG25" s="393">
        <f t="shared" si="44"/>
        <v>5819</v>
      </c>
      <c r="AI25" s="394">
        <f t="shared" si="10"/>
        <v>0</v>
      </c>
      <c r="AJ25" s="394">
        <f t="shared" si="11"/>
        <v>0</v>
      </c>
      <c r="AK25" s="395">
        <f t="shared" si="12"/>
        <v>0</v>
      </c>
      <c r="AM25" s="396">
        <f t="shared" si="13"/>
        <v>5819</v>
      </c>
      <c r="AP25" s="366">
        <f t="shared" si="31"/>
        <v>2026</v>
      </c>
      <c r="AQ25" s="393">
        <f t="shared" si="14"/>
        <v>4086</v>
      </c>
      <c r="AR25" s="393">
        <f t="shared" si="15"/>
        <v>1733</v>
      </c>
      <c r="AS25" s="397">
        <f t="shared" si="16"/>
        <v>3.5000000000000003E-2</v>
      </c>
      <c r="AT25" s="398">
        <f t="shared" si="45"/>
        <v>3484</v>
      </c>
      <c r="AU25" s="387">
        <f t="shared" si="17"/>
        <v>0.46</v>
      </c>
      <c r="AV25" s="393">
        <f t="shared" si="18"/>
        <v>500</v>
      </c>
      <c r="AW25" s="397"/>
      <c r="AX25" s="399"/>
      <c r="AY25" s="393">
        <f t="shared" si="32"/>
        <v>9803</v>
      </c>
      <c r="AZ25" s="381"/>
      <c r="BA25" s="393">
        <v>0</v>
      </c>
      <c r="BB25" s="393">
        <v>0</v>
      </c>
      <c r="BC25" s="400">
        <f t="shared" si="33"/>
        <v>0</v>
      </c>
      <c r="BD25" s="393">
        <f t="shared" si="19"/>
        <v>9803</v>
      </c>
      <c r="BG25" s="366">
        <f t="shared" si="34"/>
        <v>2026</v>
      </c>
      <c r="BH25" s="393">
        <v>0</v>
      </c>
      <c r="BI25" s="369">
        <f t="shared" si="20"/>
        <v>1086</v>
      </c>
      <c r="BJ25" s="401">
        <f t="shared" si="21"/>
        <v>9.0239999999999991</v>
      </c>
      <c r="BK25" s="393">
        <f t="shared" si="46"/>
        <v>9800</v>
      </c>
      <c r="BL25" s="401">
        <f t="shared" si="22"/>
        <v>0.215</v>
      </c>
      <c r="BM25" s="398">
        <f t="shared" si="49"/>
        <v>21404</v>
      </c>
      <c r="BN25" s="402"/>
      <c r="BO25" s="393">
        <f t="shared" si="23"/>
        <v>31204</v>
      </c>
      <c r="BQ25" s="393">
        <f t="shared" si="50"/>
        <v>0</v>
      </c>
      <c r="BR25" s="393"/>
      <c r="BS25" s="393">
        <f t="shared" si="35"/>
        <v>31204</v>
      </c>
      <c r="BV25" s="366">
        <f t="shared" si="36"/>
        <v>2026</v>
      </c>
      <c r="BW25" s="393">
        <f t="shared" si="24"/>
        <v>4086</v>
      </c>
      <c r="BX25" s="369">
        <f t="shared" si="25"/>
        <v>1733</v>
      </c>
      <c r="BY25" s="403">
        <f t="shared" si="37"/>
        <v>3484</v>
      </c>
      <c r="BZ25" s="393">
        <f t="shared" si="38"/>
        <v>9303</v>
      </c>
      <c r="CB25" s="393">
        <f t="shared" si="39"/>
        <v>0</v>
      </c>
      <c r="CC25" s="393">
        <f t="shared" si="39"/>
        <v>0</v>
      </c>
      <c r="CD25" s="393">
        <f t="shared" si="40"/>
        <v>0</v>
      </c>
      <c r="CE25" s="393"/>
      <c r="CF25" s="393">
        <f t="shared" si="47"/>
        <v>9303</v>
      </c>
      <c r="DA25" s="333"/>
    </row>
    <row r="26" spans="1:105">
      <c r="A26" s="185" t="s">
        <v>18</v>
      </c>
      <c r="C26" s="358">
        <f>+'Gas Input Table Summary'!$D$18</f>
        <v>0</v>
      </c>
      <c r="F26" s="368"/>
      <c r="G26" s="368"/>
      <c r="H26" s="368"/>
      <c r="J26" s="333">
        <f t="shared" si="26"/>
        <v>13</v>
      </c>
      <c r="L26" s="366">
        <f t="shared" si="27"/>
        <v>2027</v>
      </c>
      <c r="M26" s="386">
        <f t="shared" si="48"/>
        <v>1086</v>
      </c>
      <c r="N26" s="387">
        <f t="shared" si="41"/>
        <v>3.8940000000000001</v>
      </c>
      <c r="O26" s="388">
        <f t="shared" si="0"/>
        <v>4229</v>
      </c>
      <c r="P26" s="387">
        <f t="shared" si="1"/>
        <v>0</v>
      </c>
      <c r="Q26" s="389">
        <f t="shared" si="28"/>
        <v>0</v>
      </c>
      <c r="R26" s="390">
        <f t="shared" si="2"/>
        <v>4229</v>
      </c>
      <c r="S26" s="372">
        <f t="shared" si="3"/>
        <v>10.9</v>
      </c>
      <c r="T26" s="389">
        <f t="shared" si="42"/>
        <v>160</v>
      </c>
      <c r="U26" s="391">
        <f t="shared" si="43"/>
        <v>1744</v>
      </c>
      <c r="V26" s="386">
        <f t="shared" si="29"/>
        <v>5973</v>
      </c>
      <c r="W26" s="392">
        <f t="shared" si="4"/>
        <v>2.7280000000000002</v>
      </c>
      <c r="X26" s="393">
        <f t="shared" si="5"/>
        <v>1926</v>
      </c>
      <c r="Y26" s="393">
        <v>0</v>
      </c>
      <c r="Z26" s="393">
        <v>0</v>
      </c>
      <c r="AA26" s="389">
        <f t="shared" si="6"/>
        <v>1926</v>
      </c>
      <c r="AB26" s="393">
        <f t="shared" si="7"/>
        <v>4047</v>
      </c>
      <c r="AD26" s="366">
        <f t="shared" si="30"/>
        <v>2027</v>
      </c>
      <c r="AE26" s="393">
        <f t="shared" si="8"/>
        <v>4229</v>
      </c>
      <c r="AF26" s="368">
        <f t="shared" si="9"/>
        <v>1744</v>
      </c>
      <c r="AG26" s="393">
        <f t="shared" si="44"/>
        <v>5973</v>
      </c>
      <c r="AI26" s="394">
        <f t="shared" si="10"/>
        <v>0</v>
      </c>
      <c r="AJ26" s="394">
        <f t="shared" si="11"/>
        <v>0</v>
      </c>
      <c r="AK26" s="395">
        <f t="shared" si="12"/>
        <v>0</v>
      </c>
      <c r="AM26" s="396">
        <f t="shared" si="13"/>
        <v>5973</v>
      </c>
      <c r="AP26" s="366">
        <f t="shared" si="31"/>
        <v>2027</v>
      </c>
      <c r="AQ26" s="393">
        <f t="shared" si="14"/>
        <v>4229</v>
      </c>
      <c r="AR26" s="393">
        <f t="shared" si="15"/>
        <v>1744</v>
      </c>
      <c r="AS26" s="397">
        <f t="shared" si="16"/>
        <v>3.5999999999999997E-2</v>
      </c>
      <c r="AT26" s="398">
        <f t="shared" si="45"/>
        <v>3584</v>
      </c>
      <c r="AU26" s="387">
        <f t="shared" si="17"/>
        <v>0.47</v>
      </c>
      <c r="AV26" s="393">
        <f t="shared" si="18"/>
        <v>510</v>
      </c>
      <c r="AW26" s="397"/>
      <c r="AX26" s="399"/>
      <c r="AY26" s="393">
        <f t="shared" si="32"/>
        <v>10067</v>
      </c>
      <c r="AZ26" s="381"/>
      <c r="BA26" s="393">
        <v>0</v>
      </c>
      <c r="BB26" s="393">
        <v>0</v>
      </c>
      <c r="BC26" s="400">
        <f t="shared" si="33"/>
        <v>0</v>
      </c>
      <c r="BD26" s="393">
        <f t="shared" si="19"/>
        <v>10067</v>
      </c>
      <c r="BG26" s="366">
        <f t="shared" si="34"/>
        <v>2027</v>
      </c>
      <c r="BH26" s="393">
        <v>0</v>
      </c>
      <c r="BI26" s="369">
        <f t="shared" si="20"/>
        <v>1086</v>
      </c>
      <c r="BJ26" s="401">
        <f t="shared" si="21"/>
        <v>9.34</v>
      </c>
      <c r="BK26" s="393">
        <f t="shared" si="46"/>
        <v>10143</v>
      </c>
      <c r="BL26" s="401">
        <f t="shared" si="22"/>
        <v>0.222</v>
      </c>
      <c r="BM26" s="398">
        <f t="shared" si="49"/>
        <v>22101</v>
      </c>
      <c r="BN26" s="402"/>
      <c r="BO26" s="393">
        <f t="shared" si="23"/>
        <v>32244</v>
      </c>
      <c r="BQ26" s="393">
        <f t="shared" si="50"/>
        <v>0</v>
      </c>
      <c r="BR26" s="393"/>
      <c r="BS26" s="393">
        <f t="shared" si="35"/>
        <v>32244</v>
      </c>
      <c r="BV26" s="366">
        <f t="shared" si="36"/>
        <v>2027</v>
      </c>
      <c r="BW26" s="393">
        <f t="shared" si="24"/>
        <v>4229</v>
      </c>
      <c r="BX26" s="369">
        <f t="shared" si="25"/>
        <v>1744</v>
      </c>
      <c r="BY26" s="403">
        <f t="shared" si="37"/>
        <v>3584</v>
      </c>
      <c r="BZ26" s="393">
        <f t="shared" si="38"/>
        <v>9557</v>
      </c>
      <c r="CB26" s="393">
        <f t="shared" si="39"/>
        <v>0</v>
      </c>
      <c r="CC26" s="393">
        <f t="shared" si="39"/>
        <v>0</v>
      </c>
      <c r="CD26" s="393">
        <f t="shared" si="40"/>
        <v>0</v>
      </c>
      <c r="CE26" s="393"/>
      <c r="CF26" s="393">
        <f t="shared" si="47"/>
        <v>9557</v>
      </c>
      <c r="DA26" s="333"/>
    </row>
    <row r="27" spans="1:105">
      <c r="A27" s="185"/>
      <c r="C27" s="358"/>
      <c r="E27" s="185" t="s">
        <v>70</v>
      </c>
      <c r="F27" s="369">
        <f>+'Database Inputs'!H10</f>
        <v>732</v>
      </c>
      <c r="G27" s="369"/>
      <c r="H27" s="369"/>
      <c r="J27" s="333">
        <f t="shared" si="26"/>
        <v>14</v>
      </c>
      <c r="L27" s="366">
        <f t="shared" si="27"/>
        <v>2028</v>
      </c>
      <c r="M27" s="386">
        <f t="shared" si="48"/>
        <v>1086</v>
      </c>
      <c r="N27" s="387">
        <f t="shared" si="41"/>
        <v>4.03</v>
      </c>
      <c r="O27" s="388">
        <f t="shared" si="0"/>
        <v>4377</v>
      </c>
      <c r="P27" s="387">
        <f t="shared" si="1"/>
        <v>0</v>
      </c>
      <c r="Q27" s="389">
        <f t="shared" si="28"/>
        <v>0</v>
      </c>
      <c r="R27" s="390">
        <f t="shared" si="2"/>
        <v>4377</v>
      </c>
      <c r="S27" s="372">
        <f t="shared" si="3"/>
        <v>10.9</v>
      </c>
      <c r="T27" s="389">
        <f t="shared" si="42"/>
        <v>162</v>
      </c>
      <c r="U27" s="391">
        <f t="shared" si="43"/>
        <v>1766</v>
      </c>
      <c r="V27" s="386">
        <f t="shared" si="29"/>
        <v>6143</v>
      </c>
      <c r="W27" s="392">
        <f t="shared" si="4"/>
        <v>2.823</v>
      </c>
      <c r="X27" s="393">
        <f t="shared" si="5"/>
        <v>1993</v>
      </c>
      <c r="Y27" s="393">
        <v>0</v>
      </c>
      <c r="Z27" s="393">
        <v>0</v>
      </c>
      <c r="AA27" s="389">
        <f t="shared" si="6"/>
        <v>1993</v>
      </c>
      <c r="AB27" s="393">
        <f t="shared" si="7"/>
        <v>4150</v>
      </c>
      <c r="AD27" s="366">
        <f t="shared" si="30"/>
        <v>2028</v>
      </c>
      <c r="AE27" s="393">
        <f t="shared" si="8"/>
        <v>4377</v>
      </c>
      <c r="AF27" s="368">
        <f t="shared" si="9"/>
        <v>1766</v>
      </c>
      <c r="AG27" s="393">
        <f t="shared" si="44"/>
        <v>6143</v>
      </c>
      <c r="AI27" s="394">
        <f t="shared" si="10"/>
        <v>0</v>
      </c>
      <c r="AJ27" s="394">
        <f t="shared" si="11"/>
        <v>0</v>
      </c>
      <c r="AK27" s="395">
        <f t="shared" si="12"/>
        <v>0</v>
      </c>
      <c r="AM27" s="396">
        <f t="shared" si="13"/>
        <v>6143</v>
      </c>
      <c r="AP27" s="366">
        <f t="shared" si="31"/>
        <v>2028</v>
      </c>
      <c r="AQ27" s="393">
        <f t="shared" si="14"/>
        <v>4377</v>
      </c>
      <c r="AR27" s="393">
        <f t="shared" si="15"/>
        <v>1766</v>
      </c>
      <c r="AS27" s="397">
        <f t="shared" si="16"/>
        <v>3.6999999999999998E-2</v>
      </c>
      <c r="AT27" s="398">
        <f t="shared" si="45"/>
        <v>3683</v>
      </c>
      <c r="AU27" s="387">
        <f t="shared" si="17"/>
        <v>0.48099999999999998</v>
      </c>
      <c r="AV27" s="393">
        <f t="shared" si="18"/>
        <v>522</v>
      </c>
      <c r="AW27" s="397"/>
      <c r="AX27" s="399"/>
      <c r="AY27" s="393">
        <f t="shared" si="32"/>
        <v>10348</v>
      </c>
      <c r="AZ27" s="381"/>
      <c r="BA27" s="393">
        <v>0</v>
      </c>
      <c r="BB27" s="393">
        <v>0</v>
      </c>
      <c r="BC27" s="400">
        <f t="shared" si="33"/>
        <v>0</v>
      </c>
      <c r="BD27" s="393">
        <f t="shared" si="19"/>
        <v>10348</v>
      </c>
      <c r="BG27" s="366">
        <f t="shared" si="34"/>
        <v>2028</v>
      </c>
      <c r="BH27" s="393">
        <v>0</v>
      </c>
      <c r="BI27" s="369">
        <f t="shared" si="20"/>
        <v>1086</v>
      </c>
      <c r="BJ27" s="401">
        <f t="shared" si="21"/>
        <v>9.6669999999999998</v>
      </c>
      <c r="BK27" s="393">
        <f t="shared" si="46"/>
        <v>10498</v>
      </c>
      <c r="BL27" s="401">
        <f t="shared" si="22"/>
        <v>0.23</v>
      </c>
      <c r="BM27" s="398">
        <f t="shared" si="49"/>
        <v>22897</v>
      </c>
      <c r="BN27" s="402"/>
      <c r="BO27" s="393">
        <f t="shared" si="23"/>
        <v>33395</v>
      </c>
      <c r="BQ27" s="393">
        <f t="shared" si="50"/>
        <v>0</v>
      </c>
      <c r="BR27" s="393"/>
      <c r="BS27" s="393">
        <f t="shared" si="35"/>
        <v>33395</v>
      </c>
      <c r="BV27" s="366">
        <f t="shared" si="36"/>
        <v>2028</v>
      </c>
      <c r="BW27" s="393">
        <f t="shared" si="24"/>
        <v>4377</v>
      </c>
      <c r="BX27" s="369">
        <f t="shared" si="25"/>
        <v>1766</v>
      </c>
      <c r="BY27" s="403">
        <f t="shared" si="37"/>
        <v>3683</v>
      </c>
      <c r="BZ27" s="393">
        <f t="shared" si="38"/>
        <v>9826</v>
      </c>
      <c r="CB27" s="393">
        <f t="shared" si="39"/>
        <v>0</v>
      </c>
      <c r="CC27" s="393">
        <f t="shared" si="39"/>
        <v>0</v>
      </c>
      <c r="CD27" s="393">
        <f t="shared" si="40"/>
        <v>0</v>
      </c>
      <c r="CE27" s="393"/>
      <c r="CF27" s="393">
        <f t="shared" si="47"/>
        <v>9826</v>
      </c>
      <c r="DA27" s="333"/>
    </row>
    <row r="28" spans="1:105">
      <c r="A28" s="185" t="s">
        <v>71</v>
      </c>
      <c r="C28" s="365">
        <f>+'Gas Input Table Summary'!$D$19</f>
        <v>2.18E-2</v>
      </c>
      <c r="E28" s="185" t="s">
        <v>72</v>
      </c>
      <c r="F28" s="369">
        <v>0</v>
      </c>
      <c r="G28" s="369"/>
      <c r="H28" s="369"/>
      <c r="J28" s="333">
        <f t="shared" si="26"/>
        <v>15</v>
      </c>
      <c r="L28" s="366">
        <f t="shared" si="27"/>
        <v>2029</v>
      </c>
      <c r="M28" s="386">
        <f t="shared" si="48"/>
        <v>1086</v>
      </c>
      <c r="N28" s="387">
        <f t="shared" si="41"/>
        <v>4.1710000000000003</v>
      </c>
      <c r="O28" s="388">
        <f t="shared" si="0"/>
        <v>4530</v>
      </c>
      <c r="P28" s="387">
        <f t="shared" si="1"/>
        <v>0</v>
      </c>
      <c r="Q28" s="389">
        <f t="shared" si="28"/>
        <v>0</v>
      </c>
      <c r="R28" s="390">
        <f t="shared" si="2"/>
        <v>4530</v>
      </c>
      <c r="S28" s="372">
        <f t="shared" si="3"/>
        <v>10.9</v>
      </c>
      <c r="T28" s="389">
        <f t="shared" si="42"/>
        <v>163</v>
      </c>
      <c r="U28" s="391">
        <f t="shared" si="43"/>
        <v>1777</v>
      </c>
      <c r="V28" s="386">
        <f t="shared" si="29"/>
        <v>6307</v>
      </c>
      <c r="W28" s="392">
        <f t="shared" si="4"/>
        <v>2.9220000000000002</v>
      </c>
      <c r="X28" s="393">
        <f t="shared" si="5"/>
        <v>2063</v>
      </c>
      <c r="Y28" s="393">
        <v>0</v>
      </c>
      <c r="Z28" s="393">
        <v>0</v>
      </c>
      <c r="AA28" s="389">
        <f t="shared" si="6"/>
        <v>2063</v>
      </c>
      <c r="AB28" s="393">
        <f t="shared" si="7"/>
        <v>4244</v>
      </c>
      <c r="AD28" s="366">
        <f t="shared" si="30"/>
        <v>2029</v>
      </c>
      <c r="AE28" s="393">
        <f t="shared" si="8"/>
        <v>4530</v>
      </c>
      <c r="AF28" s="368">
        <f t="shared" si="9"/>
        <v>1777</v>
      </c>
      <c r="AG28" s="393">
        <f t="shared" si="44"/>
        <v>6307</v>
      </c>
      <c r="AI28" s="394">
        <f t="shared" si="10"/>
        <v>0</v>
      </c>
      <c r="AJ28" s="394">
        <f t="shared" si="11"/>
        <v>0</v>
      </c>
      <c r="AK28" s="395">
        <f t="shared" si="12"/>
        <v>0</v>
      </c>
      <c r="AM28" s="396">
        <f t="shared" si="13"/>
        <v>6307</v>
      </c>
      <c r="AP28" s="366">
        <f t="shared" si="31"/>
        <v>2029</v>
      </c>
      <c r="AQ28" s="393">
        <f t="shared" si="14"/>
        <v>4530</v>
      </c>
      <c r="AR28" s="393">
        <f t="shared" si="15"/>
        <v>1777</v>
      </c>
      <c r="AS28" s="397">
        <f t="shared" si="16"/>
        <v>3.7999999999999999E-2</v>
      </c>
      <c r="AT28" s="398">
        <f t="shared" si="45"/>
        <v>3783</v>
      </c>
      <c r="AU28" s="387">
        <f t="shared" si="17"/>
        <v>0.49199999999999999</v>
      </c>
      <c r="AV28" s="393">
        <f t="shared" si="18"/>
        <v>534</v>
      </c>
      <c r="AW28" s="397"/>
      <c r="AX28" s="399"/>
      <c r="AY28" s="393">
        <f t="shared" si="32"/>
        <v>10624</v>
      </c>
      <c r="AZ28" s="381"/>
      <c r="BA28" s="393">
        <v>0</v>
      </c>
      <c r="BB28" s="393">
        <v>0</v>
      </c>
      <c r="BC28" s="400">
        <f t="shared" si="33"/>
        <v>0</v>
      </c>
      <c r="BD28" s="393">
        <f t="shared" si="19"/>
        <v>10624</v>
      </c>
      <c r="BG28" s="366">
        <f t="shared" si="34"/>
        <v>2029</v>
      </c>
      <c r="BH28" s="393">
        <v>0</v>
      </c>
      <c r="BI28" s="369">
        <f t="shared" si="20"/>
        <v>1086</v>
      </c>
      <c r="BJ28" s="401">
        <f t="shared" si="21"/>
        <v>10.005000000000001</v>
      </c>
      <c r="BK28" s="393">
        <f t="shared" si="46"/>
        <v>10865</v>
      </c>
      <c r="BL28" s="401">
        <f t="shared" si="22"/>
        <v>0.23799999999999999</v>
      </c>
      <c r="BM28" s="398">
        <f t="shared" si="49"/>
        <v>23693</v>
      </c>
      <c r="BN28" s="402"/>
      <c r="BO28" s="393">
        <f t="shared" si="23"/>
        <v>34558</v>
      </c>
      <c r="BQ28" s="393">
        <f t="shared" si="50"/>
        <v>0</v>
      </c>
      <c r="BR28" s="393"/>
      <c r="BS28" s="393">
        <f t="shared" si="35"/>
        <v>34558</v>
      </c>
      <c r="BV28" s="366">
        <f t="shared" si="36"/>
        <v>2029</v>
      </c>
      <c r="BW28" s="393">
        <f t="shared" si="24"/>
        <v>4530</v>
      </c>
      <c r="BX28" s="369">
        <f t="shared" si="25"/>
        <v>1777</v>
      </c>
      <c r="BY28" s="403">
        <f t="shared" si="37"/>
        <v>3783</v>
      </c>
      <c r="BZ28" s="393">
        <f t="shared" si="38"/>
        <v>10090</v>
      </c>
      <c r="CB28" s="393">
        <f t="shared" si="39"/>
        <v>0</v>
      </c>
      <c r="CC28" s="393">
        <f t="shared" si="39"/>
        <v>0</v>
      </c>
      <c r="CD28" s="393">
        <f t="shared" si="40"/>
        <v>0</v>
      </c>
      <c r="CE28" s="393"/>
      <c r="CF28" s="393">
        <f t="shared" si="47"/>
        <v>10090</v>
      </c>
      <c r="DA28" s="333"/>
    </row>
    <row r="29" spans="1:105">
      <c r="A29" s="185" t="s">
        <v>47</v>
      </c>
      <c r="C29" s="358">
        <f>+'Gas Input Table Summary'!$D$20</f>
        <v>3.5000000000000003E-2</v>
      </c>
      <c r="E29" s="185"/>
      <c r="F29" s="369"/>
      <c r="G29" s="369"/>
      <c r="H29" s="369"/>
      <c r="J29" s="333">
        <f t="shared" si="26"/>
        <v>16</v>
      </c>
      <c r="L29" s="366">
        <f t="shared" si="27"/>
        <v>2030</v>
      </c>
      <c r="M29" s="386">
        <f t="shared" si="48"/>
        <v>1086</v>
      </c>
      <c r="N29" s="387">
        <f t="shared" si="41"/>
        <v>4.3170000000000002</v>
      </c>
      <c r="O29" s="388">
        <f t="shared" si="0"/>
        <v>4688</v>
      </c>
      <c r="P29" s="387">
        <f t="shared" si="1"/>
        <v>0</v>
      </c>
      <c r="Q29" s="389">
        <f t="shared" si="28"/>
        <v>0</v>
      </c>
      <c r="R29" s="390">
        <f t="shared" si="2"/>
        <v>4688</v>
      </c>
      <c r="S29" s="372">
        <f t="shared" si="3"/>
        <v>10.9</v>
      </c>
      <c r="T29" s="389">
        <f t="shared" si="42"/>
        <v>165</v>
      </c>
      <c r="U29" s="391">
        <f t="shared" si="43"/>
        <v>1799</v>
      </c>
      <c r="V29" s="386">
        <f t="shared" si="29"/>
        <v>6487</v>
      </c>
      <c r="W29" s="392">
        <f t="shared" si="4"/>
        <v>3.024</v>
      </c>
      <c r="X29" s="393">
        <f t="shared" si="5"/>
        <v>2135</v>
      </c>
      <c r="Y29" s="409">
        <v>0</v>
      </c>
      <c r="Z29" s="409">
        <v>0</v>
      </c>
      <c r="AA29" s="410">
        <f t="shared" si="6"/>
        <v>2135</v>
      </c>
      <c r="AB29" s="409">
        <f t="shared" si="7"/>
        <v>4352</v>
      </c>
      <c r="AD29" s="366">
        <f t="shared" si="30"/>
        <v>2030</v>
      </c>
      <c r="AE29" s="393">
        <f t="shared" si="8"/>
        <v>4688</v>
      </c>
      <c r="AF29" s="368">
        <f t="shared" si="9"/>
        <v>1799</v>
      </c>
      <c r="AG29" s="393">
        <f t="shared" si="44"/>
        <v>6487</v>
      </c>
      <c r="AI29" s="394">
        <f t="shared" si="10"/>
        <v>0</v>
      </c>
      <c r="AJ29" s="394">
        <f t="shared" si="11"/>
        <v>0</v>
      </c>
      <c r="AK29" s="395">
        <f t="shared" si="12"/>
        <v>0</v>
      </c>
      <c r="AM29" s="396">
        <f t="shared" si="13"/>
        <v>6487</v>
      </c>
      <c r="AP29" s="366">
        <f t="shared" si="31"/>
        <v>2030</v>
      </c>
      <c r="AQ29" s="409">
        <f t="shared" si="14"/>
        <v>4688</v>
      </c>
      <c r="AR29" s="393">
        <f t="shared" si="15"/>
        <v>1799</v>
      </c>
      <c r="AS29" s="397">
        <f t="shared" si="16"/>
        <v>0.04</v>
      </c>
      <c r="AT29" s="398">
        <f t="shared" si="45"/>
        <v>3982</v>
      </c>
      <c r="AU29" s="387">
        <f t="shared" si="17"/>
        <v>0.504</v>
      </c>
      <c r="AV29" s="393">
        <f t="shared" si="18"/>
        <v>547</v>
      </c>
      <c r="AW29" s="397"/>
      <c r="AX29" s="399"/>
      <c r="AY29" s="409">
        <f t="shared" si="32"/>
        <v>11016</v>
      </c>
      <c r="AZ29" s="381"/>
      <c r="BA29" s="409">
        <v>0</v>
      </c>
      <c r="BB29" s="393">
        <v>0</v>
      </c>
      <c r="BC29" s="400">
        <f t="shared" si="33"/>
        <v>0</v>
      </c>
      <c r="BD29" s="409">
        <f t="shared" si="19"/>
        <v>11016</v>
      </c>
      <c r="BG29" s="366">
        <f t="shared" si="34"/>
        <v>2030</v>
      </c>
      <c r="BH29" s="393">
        <v>0</v>
      </c>
      <c r="BI29" s="369">
        <f t="shared" si="20"/>
        <v>1086</v>
      </c>
      <c r="BJ29" s="401">
        <f t="shared" si="21"/>
        <v>10.355</v>
      </c>
      <c r="BK29" s="393">
        <f t="shared" si="46"/>
        <v>11246</v>
      </c>
      <c r="BL29" s="401">
        <f t="shared" si="22"/>
        <v>0.246</v>
      </c>
      <c r="BM29" s="398">
        <f t="shared" si="49"/>
        <v>24490</v>
      </c>
      <c r="BN29" s="402"/>
      <c r="BO29" s="393">
        <f t="shared" si="23"/>
        <v>35736</v>
      </c>
      <c r="BQ29" s="393">
        <f t="shared" si="50"/>
        <v>0</v>
      </c>
      <c r="BR29" s="393"/>
      <c r="BS29" s="393">
        <f t="shared" si="35"/>
        <v>35736</v>
      </c>
      <c r="BV29" s="366">
        <f t="shared" si="36"/>
        <v>2030</v>
      </c>
      <c r="BW29" s="393">
        <f t="shared" si="24"/>
        <v>4688</v>
      </c>
      <c r="BX29" s="369">
        <f t="shared" si="25"/>
        <v>1799</v>
      </c>
      <c r="BY29" s="403">
        <f t="shared" si="37"/>
        <v>3982</v>
      </c>
      <c r="BZ29" s="393">
        <f t="shared" si="38"/>
        <v>10469</v>
      </c>
      <c r="CB29" s="393">
        <f t="shared" si="39"/>
        <v>0</v>
      </c>
      <c r="CC29" s="393">
        <f t="shared" si="39"/>
        <v>0</v>
      </c>
      <c r="CD29" s="393">
        <f t="shared" si="40"/>
        <v>0</v>
      </c>
      <c r="CE29" s="393"/>
      <c r="CF29" s="393">
        <f t="shared" si="47"/>
        <v>10469</v>
      </c>
      <c r="DA29" s="333"/>
    </row>
    <row r="30" spans="1:105">
      <c r="E30" s="185" t="s">
        <v>73</v>
      </c>
      <c r="F30" s="196">
        <f>+'Total Program Inputs'!C11</f>
        <v>136</v>
      </c>
      <c r="G30" s="196"/>
      <c r="H30" s="196"/>
      <c r="J30" s="333">
        <f t="shared" si="26"/>
        <v>17</v>
      </c>
      <c r="L30" s="366">
        <f t="shared" si="27"/>
        <v>2031</v>
      </c>
      <c r="M30" s="386">
        <f t="shared" si="48"/>
        <v>1086</v>
      </c>
      <c r="N30" s="387">
        <f t="shared" si="41"/>
        <v>4.468</v>
      </c>
      <c r="O30" s="388">
        <f t="shared" si="0"/>
        <v>4852</v>
      </c>
      <c r="P30" s="387">
        <f t="shared" si="1"/>
        <v>0</v>
      </c>
      <c r="Q30" s="389">
        <f t="shared" si="28"/>
        <v>0</v>
      </c>
      <c r="R30" s="390">
        <f t="shared" si="2"/>
        <v>4852</v>
      </c>
      <c r="S30" s="372">
        <f t="shared" si="3"/>
        <v>10.9</v>
      </c>
      <c r="T30" s="389">
        <f t="shared" si="42"/>
        <v>167</v>
      </c>
      <c r="U30" s="391">
        <f t="shared" si="43"/>
        <v>1820</v>
      </c>
      <c r="V30" s="386">
        <f t="shared" si="29"/>
        <v>6672</v>
      </c>
      <c r="W30" s="392">
        <f t="shared" si="4"/>
        <v>3.13</v>
      </c>
      <c r="X30" s="393">
        <f t="shared" si="5"/>
        <v>2209</v>
      </c>
      <c r="Y30" s="409">
        <v>0</v>
      </c>
      <c r="Z30" s="409">
        <v>0</v>
      </c>
      <c r="AA30" s="410">
        <f t="shared" si="6"/>
        <v>2209</v>
      </c>
      <c r="AB30" s="409">
        <f t="shared" si="7"/>
        <v>4463</v>
      </c>
      <c r="AD30" s="366">
        <f t="shared" si="30"/>
        <v>2031</v>
      </c>
      <c r="AE30" s="393">
        <f t="shared" si="8"/>
        <v>4852</v>
      </c>
      <c r="AF30" s="368">
        <f t="shared" si="9"/>
        <v>1820</v>
      </c>
      <c r="AG30" s="393">
        <f t="shared" si="44"/>
        <v>6672</v>
      </c>
      <c r="AI30" s="394">
        <f t="shared" si="10"/>
        <v>0</v>
      </c>
      <c r="AJ30" s="394">
        <f t="shared" si="11"/>
        <v>0</v>
      </c>
      <c r="AK30" s="395">
        <f t="shared" si="12"/>
        <v>0</v>
      </c>
      <c r="AM30" s="396">
        <f t="shared" si="13"/>
        <v>6672</v>
      </c>
      <c r="AP30" s="366">
        <f t="shared" si="31"/>
        <v>2031</v>
      </c>
      <c r="AQ30" s="409">
        <f t="shared" si="14"/>
        <v>4852</v>
      </c>
      <c r="AR30" s="393">
        <f t="shared" si="15"/>
        <v>1820</v>
      </c>
      <c r="AS30" s="397">
        <f t="shared" si="16"/>
        <v>4.1000000000000002E-2</v>
      </c>
      <c r="AT30" s="398">
        <f t="shared" si="45"/>
        <v>4082</v>
      </c>
      <c r="AU30" s="387">
        <f t="shared" si="17"/>
        <v>0.51500000000000001</v>
      </c>
      <c r="AV30" s="393">
        <f t="shared" si="18"/>
        <v>559</v>
      </c>
      <c r="AW30" s="397"/>
      <c r="AX30" s="399"/>
      <c r="AY30" s="409">
        <f t="shared" si="32"/>
        <v>11313</v>
      </c>
      <c r="AZ30" s="381"/>
      <c r="BA30" s="409">
        <v>0</v>
      </c>
      <c r="BB30" s="393">
        <v>0</v>
      </c>
      <c r="BC30" s="400">
        <f t="shared" si="33"/>
        <v>0</v>
      </c>
      <c r="BD30" s="409">
        <f t="shared" si="19"/>
        <v>11313</v>
      </c>
      <c r="BG30" s="366">
        <f t="shared" si="34"/>
        <v>2031</v>
      </c>
      <c r="BH30" s="393">
        <v>0</v>
      </c>
      <c r="BI30" s="369">
        <f t="shared" si="20"/>
        <v>1086</v>
      </c>
      <c r="BJ30" s="401">
        <f t="shared" si="21"/>
        <v>10.718</v>
      </c>
      <c r="BK30" s="393">
        <f t="shared" si="46"/>
        <v>11640</v>
      </c>
      <c r="BL30" s="401">
        <f t="shared" si="22"/>
        <v>0.255</v>
      </c>
      <c r="BM30" s="398">
        <f t="shared" si="49"/>
        <v>25386</v>
      </c>
      <c r="BN30" s="402"/>
      <c r="BO30" s="393">
        <f t="shared" si="23"/>
        <v>37026</v>
      </c>
      <c r="BQ30" s="393">
        <f t="shared" si="50"/>
        <v>0</v>
      </c>
      <c r="BR30" s="393"/>
      <c r="BS30" s="393">
        <f t="shared" si="35"/>
        <v>37026</v>
      </c>
      <c r="BV30" s="366">
        <f t="shared" si="36"/>
        <v>2031</v>
      </c>
      <c r="BW30" s="393">
        <f t="shared" si="24"/>
        <v>4852</v>
      </c>
      <c r="BX30" s="369">
        <f t="shared" si="25"/>
        <v>1820</v>
      </c>
      <c r="BY30" s="403">
        <f t="shared" si="37"/>
        <v>4082</v>
      </c>
      <c r="BZ30" s="393">
        <f t="shared" si="38"/>
        <v>10754</v>
      </c>
      <c r="CB30" s="393">
        <f t="shared" si="39"/>
        <v>0</v>
      </c>
      <c r="CC30" s="393">
        <f t="shared" si="39"/>
        <v>0</v>
      </c>
      <c r="CD30" s="393">
        <f t="shared" si="40"/>
        <v>0</v>
      </c>
      <c r="CE30" s="393"/>
      <c r="CF30" s="393">
        <f t="shared" si="47"/>
        <v>10754</v>
      </c>
      <c r="DA30" s="333">
        <f>$J18</f>
        <v>5</v>
      </c>
    </row>
    <row r="31" spans="1:105">
      <c r="A31" s="187" t="s">
        <v>74</v>
      </c>
      <c r="C31" s="361">
        <f>+'Gas Input Table Summary'!$D$21</f>
        <v>5.0999999999999997E-2</v>
      </c>
      <c r="F31" s="368"/>
      <c r="G31" s="368"/>
      <c r="H31" s="368"/>
      <c r="J31" s="333">
        <f t="shared" si="26"/>
        <v>18</v>
      </c>
      <c r="L31" s="366">
        <f t="shared" si="27"/>
        <v>2032</v>
      </c>
      <c r="M31" s="386">
        <f t="shared" si="48"/>
        <v>1086</v>
      </c>
      <c r="N31" s="387">
        <f t="shared" si="41"/>
        <v>4.625</v>
      </c>
      <c r="O31" s="388">
        <f t="shared" si="0"/>
        <v>5023</v>
      </c>
      <c r="P31" s="387">
        <f t="shared" si="1"/>
        <v>0</v>
      </c>
      <c r="Q31" s="389">
        <f t="shared" si="28"/>
        <v>0</v>
      </c>
      <c r="R31" s="390">
        <f t="shared" si="2"/>
        <v>5023</v>
      </c>
      <c r="S31" s="372">
        <f t="shared" si="3"/>
        <v>10.9</v>
      </c>
      <c r="T31" s="389">
        <f t="shared" si="42"/>
        <v>168</v>
      </c>
      <c r="U31" s="391">
        <f t="shared" si="43"/>
        <v>1831</v>
      </c>
      <c r="V31" s="386">
        <f t="shared" si="29"/>
        <v>6854</v>
      </c>
      <c r="W31" s="392">
        <f t="shared" si="4"/>
        <v>3.2389999999999999</v>
      </c>
      <c r="X31" s="393">
        <f t="shared" si="5"/>
        <v>2286</v>
      </c>
      <c r="Y31" s="409">
        <v>0</v>
      </c>
      <c r="Z31" s="409">
        <v>0</v>
      </c>
      <c r="AA31" s="410">
        <f t="shared" si="6"/>
        <v>2286</v>
      </c>
      <c r="AB31" s="409">
        <f t="shared" si="7"/>
        <v>4568</v>
      </c>
      <c r="AD31" s="366">
        <f t="shared" si="30"/>
        <v>2032</v>
      </c>
      <c r="AE31" s="393">
        <f t="shared" si="8"/>
        <v>5023</v>
      </c>
      <c r="AF31" s="368">
        <f t="shared" si="9"/>
        <v>1831</v>
      </c>
      <c r="AG31" s="393">
        <f t="shared" si="44"/>
        <v>6854</v>
      </c>
      <c r="AI31" s="394">
        <f t="shared" si="10"/>
        <v>0</v>
      </c>
      <c r="AJ31" s="394">
        <f t="shared" si="11"/>
        <v>0</v>
      </c>
      <c r="AK31" s="395">
        <f t="shared" si="12"/>
        <v>0</v>
      </c>
      <c r="AM31" s="396">
        <f t="shared" si="13"/>
        <v>6854</v>
      </c>
      <c r="AP31" s="366">
        <f t="shared" si="31"/>
        <v>2032</v>
      </c>
      <c r="AQ31" s="409">
        <f t="shared" si="14"/>
        <v>5023</v>
      </c>
      <c r="AR31" s="393">
        <f t="shared" si="15"/>
        <v>1831</v>
      </c>
      <c r="AS31" s="397">
        <f t="shared" si="16"/>
        <v>4.2999999999999997E-2</v>
      </c>
      <c r="AT31" s="398">
        <f t="shared" si="45"/>
        <v>4281</v>
      </c>
      <c r="AU31" s="387">
        <f t="shared" si="17"/>
        <v>0.52700000000000002</v>
      </c>
      <c r="AV31" s="393">
        <f t="shared" si="18"/>
        <v>572</v>
      </c>
      <c r="AW31" s="397"/>
      <c r="AX31" s="399"/>
      <c r="AY31" s="409">
        <f t="shared" si="32"/>
        <v>11707</v>
      </c>
      <c r="AZ31" s="381"/>
      <c r="BA31" s="409">
        <v>0</v>
      </c>
      <c r="BB31" s="393">
        <v>0</v>
      </c>
      <c r="BC31" s="400">
        <f t="shared" si="33"/>
        <v>0</v>
      </c>
      <c r="BD31" s="409">
        <f t="shared" si="19"/>
        <v>11707</v>
      </c>
      <c r="BG31" s="366">
        <f t="shared" si="34"/>
        <v>2032</v>
      </c>
      <c r="BH31" s="393">
        <v>0</v>
      </c>
      <c r="BI31" s="369">
        <f t="shared" si="20"/>
        <v>1086</v>
      </c>
      <c r="BJ31" s="401">
        <f t="shared" si="21"/>
        <v>11.093</v>
      </c>
      <c r="BK31" s="393">
        <f t="shared" si="46"/>
        <v>12047</v>
      </c>
      <c r="BL31" s="401">
        <f t="shared" si="22"/>
        <v>0.26400000000000001</v>
      </c>
      <c r="BM31" s="398">
        <f t="shared" si="49"/>
        <v>26282</v>
      </c>
      <c r="BN31" s="402"/>
      <c r="BO31" s="393">
        <f t="shared" si="23"/>
        <v>38329</v>
      </c>
      <c r="BQ31" s="393">
        <f t="shared" si="50"/>
        <v>0</v>
      </c>
      <c r="BR31" s="393"/>
      <c r="BS31" s="393">
        <f t="shared" si="35"/>
        <v>38329</v>
      </c>
      <c r="BV31" s="366">
        <f t="shared" si="36"/>
        <v>2032</v>
      </c>
      <c r="BW31" s="393">
        <f t="shared" si="24"/>
        <v>5023</v>
      </c>
      <c r="BX31" s="369">
        <f t="shared" si="25"/>
        <v>1831</v>
      </c>
      <c r="BY31" s="403">
        <f t="shared" si="37"/>
        <v>4281</v>
      </c>
      <c r="BZ31" s="393">
        <f t="shared" si="38"/>
        <v>11135</v>
      </c>
      <c r="CB31" s="393">
        <f t="shared" si="39"/>
        <v>0</v>
      </c>
      <c r="CC31" s="393">
        <f t="shared" si="39"/>
        <v>0</v>
      </c>
      <c r="CD31" s="393">
        <f t="shared" si="40"/>
        <v>0</v>
      </c>
      <c r="CE31" s="393"/>
      <c r="CF31" s="393">
        <f t="shared" si="47"/>
        <v>11135</v>
      </c>
      <c r="DA31" s="333">
        <f>$J19</f>
        <v>6</v>
      </c>
    </row>
    <row r="32" spans="1:105">
      <c r="E32" s="193" t="s">
        <v>103</v>
      </c>
      <c r="F32" s="411">
        <f>+'Total Program Inputs'!E11</f>
        <v>1086</v>
      </c>
      <c r="G32" s="408"/>
      <c r="H32" s="408"/>
      <c r="J32" s="333">
        <f t="shared" si="26"/>
        <v>19</v>
      </c>
      <c r="L32" s="366">
        <f t="shared" si="27"/>
        <v>2033</v>
      </c>
      <c r="M32" s="386">
        <f t="shared" si="48"/>
        <v>1086</v>
      </c>
      <c r="N32" s="387">
        <f t="shared" si="41"/>
        <v>4.7869999999999999</v>
      </c>
      <c r="O32" s="388">
        <f t="shared" si="0"/>
        <v>5199</v>
      </c>
      <c r="P32" s="387">
        <f t="shared" si="1"/>
        <v>0</v>
      </c>
      <c r="Q32" s="389">
        <f t="shared" si="28"/>
        <v>0</v>
      </c>
      <c r="R32" s="390">
        <f t="shared" si="2"/>
        <v>5199</v>
      </c>
      <c r="S32" s="372">
        <f t="shared" si="3"/>
        <v>10.9</v>
      </c>
      <c r="T32" s="389">
        <f t="shared" si="42"/>
        <v>170</v>
      </c>
      <c r="U32" s="391">
        <f t="shared" si="43"/>
        <v>1853</v>
      </c>
      <c r="V32" s="386">
        <f t="shared" si="29"/>
        <v>7052</v>
      </c>
      <c r="W32" s="392">
        <f t="shared" si="4"/>
        <v>3.3530000000000002</v>
      </c>
      <c r="X32" s="393">
        <f t="shared" si="5"/>
        <v>2367</v>
      </c>
      <c r="Y32" s="409">
        <v>0</v>
      </c>
      <c r="Z32" s="409">
        <v>0</v>
      </c>
      <c r="AA32" s="410">
        <f t="shared" si="6"/>
        <v>2367</v>
      </c>
      <c r="AB32" s="409">
        <f t="shared" si="7"/>
        <v>4685</v>
      </c>
      <c r="AD32" s="366">
        <f t="shared" si="30"/>
        <v>2033</v>
      </c>
      <c r="AE32" s="393">
        <f t="shared" si="8"/>
        <v>5199</v>
      </c>
      <c r="AF32" s="368">
        <f t="shared" si="9"/>
        <v>1853</v>
      </c>
      <c r="AG32" s="393">
        <f t="shared" si="44"/>
        <v>7052</v>
      </c>
      <c r="AI32" s="394">
        <f t="shared" si="10"/>
        <v>0</v>
      </c>
      <c r="AJ32" s="394">
        <f t="shared" si="11"/>
        <v>0</v>
      </c>
      <c r="AK32" s="395">
        <f t="shared" si="12"/>
        <v>0</v>
      </c>
      <c r="AM32" s="396">
        <f t="shared" si="13"/>
        <v>7052</v>
      </c>
      <c r="AP32" s="366">
        <f t="shared" si="31"/>
        <v>2033</v>
      </c>
      <c r="AQ32" s="409">
        <f t="shared" si="14"/>
        <v>5199</v>
      </c>
      <c r="AR32" s="393">
        <f t="shared" si="15"/>
        <v>1853</v>
      </c>
      <c r="AS32" s="397">
        <f t="shared" si="16"/>
        <v>4.3999999999999997E-2</v>
      </c>
      <c r="AT32" s="398">
        <f t="shared" si="45"/>
        <v>4380</v>
      </c>
      <c r="AU32" s="387">
        <f t="shared" si="17"/>
        <v>0.53900000000000003</v>
      </c>
      <c r="AV32" s="393">
        <f t="shared" si="18"/>
        <v>585</v>
      </c>
      <c r="AW32" s="397"/>
      <c r="AX32" s="399"/>
      <c r="AY32" s="409">
        <f t="shared" si="32"/>
        <v>12017</v>
      </c>
      <c r="AZ32" s="381"/>
      <c r="BA32" s="409">
        <v>0</v>
      </c>
      <c r="BB32" s="393">
        <v>0</v>
      </c>
      <c r="BC32" s="400">
        <f t="shared" si="33"/>
        <v>0</v>
      </c>
      <c r="BD32" s="409">
        <f t="shared" si="19"/>
        <v>12017</v>
      </c>
      <c r="BG32" s="366">
        <f t="shared" si="34"/>
        <v>2033</v>
      </c>
      <c r="BH32" s="393">
        <v>0</v>
      </c>
      <c r="BI32" s="369">
        <f t="shared" si="20"/>
        <v>1086</v>
      </c>
      <c r="BJ32" s="401">
        <f t="shared" si="21"/>
        <v>11.481</v>
      </c>
      <c r="BK32" s="393">
        <f t="shared" si="46"/>
        <v>12468</v>
      </c>
      <c r="BL32" s="401">
        <f t="shared" si="22"/>
        <v>0.27300000000000002</v>
      </c>
      <c r="BM32" s="398">
        <f t="shared" si="49"/>
        <v>27178</v>
      </c>
      <c r="BN32" s="402"/>
      <c r="BO32" s="393">
        <f t="shared" si="23"/>
        <v>39646</v>
      </c>
      <c r="BQ32" s="393">
        <f t="shared" si="50"/>
        <v>0</v>
      </c>
      <c r="BR32" s="393"/>
      <c r="BS32" s="393">
        <f t="shared" si="35"/>
        <v>39646</v>
      </c>
      <c r="BV32" s="366">
        <f t="shared" si="36"/>
        <v>2033</v>
      </c>
      <c r="BW32" s="393">
        <f t="shared" si="24"/>
        <v>5199</v>
      </c>
      <c r="BX32" s="369">
        <f t="shared" si="25"/>
        <v>1853</v>
      </c>
      <c r="BY32" s="403">
        <f t="shared" si="37"/>
        <v>4380</v>
      </c>
      <c r="BZ32" s="393">
        <f t="shared" si="38"/>
        <v>11432</v>
      </c>
      <c r="CB32" s="393">
        <f t="shared" si="39"/>
        <v>0</v>
      </c>
      <c r="CC32" s="393">
        <f t="shared" si="39"/>
        <v>0</v>
      </c>
      <c r="CD32" s="393">
        <f t="shared" si="40"/>
        <v>0</v>
      </c>
      <c r="CE32" s="393"/>
      <c r="CF32" s="393">
        <f t="shared" si="47"/>
        <v>11432</v>
      </c>
      <c r="DA32" s="333">
        <f>$J20</f>
        <v>7</v>
      </c>
    </row>
    <row r="33" spans="1:105">
      <c r="A33" s="187" t="s">
        <v>75</v>
      </c>
      <c r="C33" s="356">
        <f>+'Gas Input Table Summary'!$D$22</f>
        <v>0.35</v>
      </c>
      <c r="F33" s="368"/>
      <c r="G33" s="368"/>
      <c r="H33" s="368"/>
      <c r="J33" s="333">
        <f t="shared" si="26"/>
        <v>20</v>
      </c>
      <c r="L33" s="366">
        <f t="shared" si="27"/>
        <v>2034</v>
      </c>
      <c r="M33" s="386">
        <f t="shared" si="48"/>
        <v>1086</v>
      </c>
      <c r="N33" s="387">
        <f t="shared" si="41"/>
        <v>4.9539999999999997</v>
      </c>
      <c r="O33" s="388">
        <f t="shared" si="0"/>
        <v>5380</v>
      </c>
      <c r="P33" s="387">
        <f t="shared" si="1"/>
        <v>0</v>
      </c>
      <c r="Q33" s="389">
        <f t="shared" si="28"/>
        <v>0</v>
      </c>
      <c r="R33" s="390">
        <f t="shared" si="2"/>
        <v>5380</v>
      </c>
      <c r="S33" s="372">
        <f t="shared" si="3"/>
        <v>10.9</v>
      </c>
      <c r="T33" s="389">
        <f t="shared" si="42"/>
        <v>172</v>
      </c>
      <c r="U33" s="391">
        <f t="shared" si="43"/>
        <v>1875</v>
      </c>
      <c r="V33" s="386">
        <f t="shared" si="29"/>
        <v>7255</v>
      </c>
      <c r="W33" s="392">
        <f t="shared" si="4"/>
        <v>3.47</v>
      </c>
      <c r="X33" s="393">
        <f t="shared" si="5"/>
        <v>2449</v>
      </c>
      <c r="Y33" s="409">
        <v>0</v>
      </c>
      <c r="Z33" s="409">
        <v>0</v>
      </c>
      <c r="AA33" s="410">
        <f t="shared" si="6"/>
        <v>2449</v>
      </c>
      <c r="AB33" s="409">
        <f t="shared" si="7"/>
        <v>4806</v>
      </c>
      <c r="AD33" s="366">
        <f t="shared" si="30"/>
        <v>2034</v>
      </c>
      <c r="AE33" s="393">
        <f t="shared" si="8"/>
        <v>5380</v>
      </c>
      <c r="AF33" s="368">
        <f t="shared" si="9"/>
        <v>1875</v>
      </c>
      <c r="AG33" s="393">
        <f t="shared" si="44"/>
        <v>7255</v>
      </c>
      <c r="AI33" s="394">
        <f t="shared" si="10"/>
        <v>0</v>
      </c>
      <c r="AJ33" s="394">
        <f t="shared" si="11"/>
        <v>0</v>
      </c>
      <c r="AK33" s="395">
        <f t="shared" si="12"/>
        <v>0</v>
      </c>
      <c r="AM33" s="396">
        <f t="shared" si="13"/>
        <v>7255</v>
      </c>
      <c r="AP33" s="366">
        <f t="shared" si="31"/>
        <v>2034</v>
      </c>
      <c r="AQ33" s="409">
        <f t="shared" si="14"/>
        <v>5380</v>
      </c>
      <c r="AR33" s="393">
        <f t="shared" si="15"/>
        <v>1875</v>
      </c>
      <c r="AS33" s="397">
        <f t="shared" si="16"/>
        <v>4.5999999999999999E-2</v>
      </c>
      <c r="AT33" s="398">
        <f t="shared" si="45"/>
        <v>4579</v>
      </c>
      <c r="AU33" s="387">
        <f t="shared" si="17"/>
        <v>0.55200000000000005</v>
      </c>
      <c r="AV33" s="393">
        <f t="shared" si="18"/>
        <v>599</v>
      </c>
      <c r="AW33" s="397"/>
      <c r="AX33" s="399"/>
      <c r="AY33" s="409">
        <f t="shared" si="32"/>
        <v>12433</v>
      </c>
      <c r="AZ33" s="381"/>
      <c r="BA33" s="409">
        <v>0</v>
      </c>
      <c r="BB33" s="393">
        <v>0</v>
      </c>
      <c r="BC33" s="400">
        <f t="shared" si="33"/>
        <v>0</v>
      </c>
      <c r="BD33" s="409">
        <f t="shared" si="19"/>
        <v>12433</v>
      </c>
      <c r="BG33" s="366">
        <f t="shared" si="34"/>
        <v>2034</v>
      </c>
      <c r="BH33" s="393">
        <v>0</v>
      </c>
      <c r="BI33" s="369">
        <f t="shared" si="20"/>
        <v>1086</v>
      </c>
      <c r="BJ33" s="401">
        <f t="shared" si="21"/>
        <v>11.882999999999999</v>
      </c>
      <c r="BK33" s="393">
        <f t="shared" si="46"/>
        <v>12905</v>
      </c>
      <c r="BL33" s="401">
        <f t="shared" si="22"/>
        <v>0.28299999999999997</v>
      </c>
      <c r="BM33" s="398">
        <f t="shared" si="49"/>
        <v>28173</v>
      </c>
      <c r="BN33" s="398"/>
      <c r="BO33" s="393">
        <f t="shared" si="23"/>
        <v>41078</v>
      </c>
      <c r="BQ33" s="393">
        <f t="shared" si="50"/>
        <v>0</v>
      </c>
      <c r="BR33" s="393"/>
      <c r="BS33" s="393">
        <f t="shared" si="35"/>
        <v>41078</v>
      </c>
      <c r="BV33" s="366">
        <f t="shared" si="36"/>
        <v>2034</v>
      </c>
      <c r="BW33" s="393">
        <f t="shared" si="24"/>
        <v>5380</v>
      </c>
      <c r="BX33" s="369">
        <f t="shared" si="25"/>
        <v>1875</v>
      </c>
      <c r="BY33" s="403">
        <f t="shared" si="37"/>
        <v>4579</v>
      </c>
      <c r="BZ33" s="393">
        <f t="shared" si="38"/>
        <v>11834</v>
      </c>
      <c r="CB33" s="393">
        <f t="shared" si="39"/>
        <v>0</v>
      </c>
      <c r="CC33" s="393">
        <f t="shared" si="39"/>
        <v>0</v>
      </c>
      <c r="CD33" s="393">
        <f t="shared" si="40"/>
        <v>0</v>
      </c>
      <c r="CE33" s="393"/>
      <c r="CF33" s="393">
        <f t="shared" si="47"/>
        <v>11834</v>
      </c>
      <c r="DA33" s="333"/>
    </row>
    <row r="34" spans="1:105">
      <c r="A34" s="185" t="s">
        <v>18</v>
      </c>
      <c r="C34" s="358">
        <f>+'Gas Input Table Summary'!$D$23</f>
        <v>2.3E-2</v>
      </c>
      <c r="E34" s="187" t="s">
        <v>76</v>
      </c>
      <c r="F34" s="357">
        <f>+ROUND(F12/F30,0)</f>
        <v>300</v>
      </c>
      <c r="G34" s="357"/>
      <c r="H34" s="357"/>
      <c r="J34" s="333">
        <f t="shared" si="26"/>
        <v>21</v>
      </c>
      <c r="L34" s="366">
        <f t="shared" si="27"/>
        <v>2035</v>
      </c>
      <c r="M34" s="412">
        <f t="shared" si="48"/>
        <v>0</v>
      </c>
      <c r="N34" s="387">
        <f t="shared" si="41"/>
        <v>5.1280000000000001</v>
      </c>
      <c r="O34" s="394">
        <f t="shared" si="0"/>
        <v>0</v>
      </c>
      <c r="P34" s="413">
        <f t="shared" si="1"/>
        <v>0</v>
      </c>
      <c r="Q34" s="410">
        <f t="shared" si="28"/>
        <v>0</v>
      </c>
      <c r="R34" s="414">
        <f t="shared" si="2"/>
        <v>0</v>
      </c>
      <c r="S34" s="415">
        <f t="shared" si="3"/>
        <v>0</v>
      </c>
      <c r="T34" s="389">
        <f t="shared" si="42"/>
        <v>174</v>
      </c>
      <c r="U34" s="416">
        <f t="shared" si="43"/>
        <v>0</v>
      </c>
      <c r="V34" s="412">
        <f t="shared" si="29"/>
        <v>0</v>
      </c>
      <c r="W34" s="392">
        <f t="shared" si="4"/>
        <v>3.5920000000000001</v>
      </c>
      <c r="X34" s="409">
        <f t="shared" si="5"/>
        <v>0</v>
      </c>
      <c r="Y34" s="409">
        <v>0</v>
      </c>
      <c r="Z34" s="409">
        <v>0</v>
      </c>
      <c r="AA34" s="417">
        <f t="shared" si="6"/>
        <v>0</v>
      </c>
      <c r="AB34" s="418">
        <f t="shared" si="7"/>
        <v>0</v>
      </c>
      <c r="AD34" s="366">
        <f t="shared" si="30"/>
        <v>2035</v>
      </c>
      <c r="AE34" s="409">
        <f t="shared" si="8"/>
        <v>0</v>
      </c>
      <c r="AF34" s="419">
        <f t="shared" si="9"/>
        <v>0</v>
      </c>
      <c r="AG34" s="418">
        <f t="shared" si="44"/>
        <v>0</v>
      </c>
      <c r="AI34" s="394">
        <f t="shared" si="10"/>
        <v>0</v>
      </c>
      <c r="AJ34" s="394">
        <f t="shared" si="11"/>
        <v>0</v>
      </c>
      <c r="AK34" s="420">
        <f t="shared" si="12"/>
        <v>0</v>
      </c>
      <c r="AM34" s="421">
        <f t="shared" si="13"/>
        <v>0</v>
      </c>
      <c r="AP34" s="366">
        <f t="shared" si="31"/>
        <v>2035</v>
      </c>
      <c r="AQ34" s="409">
        <f t="shared" si="14"/>
        <v>0</v>
      </c>
      <c r="AR34" s="409">
        <f t="shared" si="15"/>
        <v>0</v>
      </c>
      <c r="AS34" s="422">
        <f t="shared" si="16"/>
        <v>4.7E-2</v>
      </c>
      <c r="AT34" s="398">
        <f t="shared" si="45"/>
        <v>0</v>
      </c>
      <c r="AU34" s="413">
        <f t="shared" si="17"/>
        <v>0.56399999999999995</v>
      </c>
      <c r="AV34" s="409">
        <f t="shared" si="18"/>
        <v>0</v>
      </c>
      <c r="AW34" s="397"/>
      <c r="AX34" s="423"/>
      <c r="AY34" s="418">
        <f t="shared" si="32"/>
        <v>0</v>
      </c>
      <c r="AZ34" s="381"/>
      <c r="BA34" s="409">
        <v>0</v>
      </c>
      <c r="BB34" s="409">
        <v>0</v>
      </c>
      <c r="BC34" s="424">
        <f t="shared" si="33"/>
        <v>0</v>
      </c>
      <c r="BD34" s="418">
        <f t="shared" si="19"/>
        <v>0</v>
      </c>
      <c r="BG34" s="366">
        <f t="shared" si="34"/>
        <v>2035</v>
      </c>
      <c r="BH34" s="409">
        <v>0</v>
      </c>
      <c r="BI34" s="412">
        <f t="shared" si="20"/>
        <v>0</v>
      </c>
      <c r="BJ34" s="401">
        <f t="shared" si="21"/>
        <v>12.298999999999999</v>
      </c>
      <c r="BK34" s="409">
        <f t="shared" si="46"/>
        <v>0</v>
      </c>
      <c r="BL34" s="401">
        <f t="shared" si="22"/>
        <v>0.29299999999999998</v>
      </c>
      <c r="BM34" s="398">
        <f t="shared" si="49"/>
        <v>0</v>
      </c>
      <c r="BN34" s="425"/>
      <c r="BO34" s="418">
        <f t="shared" si="23"/>
        <v>0</v>
      </c>
      <c r="BQ34" s="418">
        <f t="shared" si="50"/>
        <v>0</v>
      </c>
      <c r="BR34" s="418"/>
      <c r="BS34" s="418">
        <f t="shared" si="35"/>
        <v>0</v>
      </c>
      <c r="BV34" s="366">
        <f t="shared" si="36"/>
        <v>2035</v>
      </c>
      <c r="BW34" s="409">
        <f t="shared" si="24"/>
        <v>0</v>
      </c>
      <c r="BX34" s="369">
        <f t="shared" si="25"/>
        <v>0</v>
      </c>
      <c r="BY34" s="403">
        <f t="shared" si="37"/>
        <v>0</v>
      </c>
      <c r="BZ34" s="418">
        <f t="shared" si="38"/>
        <v>0</v>
      </c>
      <c r="CB34" s="418">
        <f t="shared" si="39"/>
        <v>0</v>
      </c>
      <c r="CC34" s="418">
        <f t="shared" si="39"/>
        <v>0</v>
      </c>
      <c r="CD34" s="418">
        <f t="shared" si="40"/>
        <v>0</v>
      </c>
      <c r="CE34" s="418"/>
      <c r="CF34" s="418">
        <f t="shared" si="47"/>
        <v>0</v>
      </c>
      <c r="DA34" s="333"/>
    </row>
    <row r="35" spans="1:105">
      <c r="A35" s="185"/>
      <c r="C35" s="358"/>
      <c r="E35" s="185"/>
      <c r="F35" s="196"/>
      <c r="G35" s="426"/>
      <c r="H35" s="426"/>
      <c r="M35" s="337"/>
      <c r="N35" s="187"/>
      <c r="R35" s="321"/>
      <c r="T35" s="427"/>
      <c r="V35" s="428"/>
      <c r="X35" s="339"/>
      <c r="Y35" s="339"/>
      <c r="Z35" s="339"/>
      <c r="AA35" s="337"/>
      <c r="AB35" s="337"/>
      <c r="AE35" s="337"/>
      <c r="AG35" s="337"/>
      <c r="AM35" s="337"/>
      <c r="AQ35" s="337"/>
      <c r="AT35" s="400"/>
      <c r="AV35" s="400"/>
      <c r="AX35" s="400"/>
      <c r="AY35" s="400"/>
      <c r="BA35" s="339"/>
      <c r="BB35" s="386"/>
      <c r="BF35" s="336"/>
      <c r="BI35" s="429"/>
      <c r="BO35" s="337"/>
      <c r="BS35" s="428"/>
      <c r="BU35" s="336"/>
      <c r="BX35" s="429"/>
      <c r="BZ35" s="337"/>
      <c r="CF35" s="428"/>
      <c r="DA35" s="333">
        <f>$J21</f>
        <v>8</v>
      </c>
    </row>
    <row r="36" spans="1:105">
      <c r="A36" s="185" t="s">
        <v>77</v>
      </c>
      <c r="C36" s="356">
        <f>+'Gas Input Table Summary'!$D$24</f>
        <v>0</v>
      </c>
      <c r="E36" s="430" t="s">
        <v>91</v>
      </c>
      <c r="F36" s="431"/>
      <c r="H36" s="432">
        <f>+'Gas Input Table Summary'!$D$58</f>
        <v>1.744</v>
      </c>
      <c r="J36" s="321"/>
      <c r="K36" s="187" t="s">
        <v>211</v>
      </c>
      <c r="M36" s="369">
        <f>SUM(M14:M34)</f>
        <v>21720</v>
      </c>
      <c r="N36" s="187"/>
      <c r="R36" s="321"/>
      <c r="S36" s="374"/>
      <c r="T36" s="427"/>
      <c r="V36" s="374">
        <f>SUM(V14:V34)</f>
        <v>113272</v>
      </c>
      <c r="X36" s="357"/>
      <c r="Y36" s="357"/>
      <c r="Z36" s="357"/>
      <c r="AA36" s="357">
        <f>SUM(AA14:AA34)</f>
        <v>79864</v>
      </c>
      <c r="AB36" s="357">
        <f>SUM(AB14:AB34)</f>
        <v>33408</v>
      </c>
      <c r="AC36" s="185" t="s">
        <v>78</v>
      </c>
      <c r="AD36" s="369"/>
      <c r="AE36" s="357"/>
      <c r="AF36" s="357"/>
      <c r="AG36" s="357">
        <f>SUM(AG14:AG34)</f>
        <v>113272</v>
      </c>
      <c r="AK36" s="357">
        <f>SUM(AK14:AK34)</f>
        <v>43831</v>
      </c>
      <c r="AM36" s="357">
        <f>SUM(AM14:AM34)</f>
        <v>69441</v>
      </c>
      <c r="AO36" s="185" t="s">
        <v>78</v>
      </c>
      <c r="AP36" s="369"/>
      <c r="AQ36" s="357"/>
      <c r="AR36" s="357"/>
      <c r="AT36" s="393"/>
      <c r="AV36" s="393"/>
      <c r="AX36" s="393"/>
      <c r="AY36" s="433">
        <f>SUM(AY14:AY34)</f>
        <v>189801</v>
      </c>
      <c r="BA36" s="357"/>
      <c r="BB36" s="357"/>
      <c r="BC36" s="357">
        <f>SUM(BC14:BC34)</f>
        <v>44103</v>
      </c>
      <c r="BD36" s="357">
        <f>SUM(BD14:BD34)</f>
        <v>145698</v>
      </c>
      <c r="BF36" s="434" t="s">
        <v>211</v>
      </c>
      <c r="BH36" s="357"/>
      <c r="BI36" s="369">
        <f>SUM(BI14:BI34)</f>
        <v>21720</v>
      </c>
      <c r="BJ36" s="427"/>
      <c r="BK36" s="357"/>
      <c r="BM36" s="357"/>
      <c r="BN36" s="357"/>
      <c r="BO36" s="357">
        <f>SUM(BO14:BO34)</f>
        <v>644663</v>
      </c>
      <c r="BQ36" s="357">
        <f>SUM(BQ14:BQ34)</f>
        <v>41072</v>
      </c>
      <c r="BR36" s="357"/>
      <c r="BS36" s="357">
        <f>SUM(BS14:BS34)</f>
        <v>603591</v>
      </c>
      <c r="BW36" s="357"/>
      <c r="BX36" s="369"/>
      <c r="BY36" s="434" t="s">
        <v>211</v>
      </c>
      <c r="BZ36" s="357">
        <f>SUM(BZ14:BZ34)</f>
        <v>180071</v>
      </c>
      <c r="CB36" s="357"/>
      <c r="CC36" s="357"/>
      <c r="CD36" s="357">
        <f>SUM(CD14:CD34)</f>
        <v>44103</v>
      </c>
      <c r="CE36" s="357"/>
      <c r="CF36" s="357">
        <f>SUM(CF14:CF34)</f>
        <v>135968</v>
      </c>
      <c r="DA36" s="333"/>
    </row>
    <row r="37" spans="1:105">
      <c r="A37" s="187" t="s">
        <v>47</v>
      </c>
      <c r="C37" s="358">
        <f>+'Gas Input Table Summary'!$D$25</f>
        <v>0</v>
      </c>
      <c r="E37" s="274"/>
      <c r="F37" s="435"/>
      <c r="H37" s="274"/>
      <c r="M37" s="369"/>
      <c r="N37" s="187"/>
      <c r="R37" s="321"/>
      <c r="S37" s="436"/>
      <c r="T37" s="337" t="s">
        <v>80</v>
      </c>
      <c r="V37" s="436">
        <f>ROUND(V14+NPV($C$41,V15:V34),0)</f>
        <v>57822</v>
      </c>
      <c r="X37" s="357"/>
      <c r="Y37" s="357"/>
      <c r="Z37" s="357"/>
      <c r="AA37" s="357">
        <f>ROUND(AA14+NPV($C$41,AA15:AA34),0)</f>
        <v>61895</v>
      </c>
      <c r="AB37" s="357">
        <f>ROUND(AB14+NPV($C$41,AB15:AB34),0)</f>
        <v>-4073</v>
      </c>
      <c r="AE37" s="357"/>
      <c r="AF37" s="185" t="s">
        <v>80</v>
      </c>
      <c r="AG37" s="357">
        <f>ROUND(AG14+NPV($C$41,AG15:AG34),0)</f>
        <v>57822</v>
      </c>
      <c r="AK37" s="357">
        <f>ROUND(AK14+NPV($C$41,AK15:AK34),0)</f>
        <v>43831</v>
      </c>
      <c r="AM37" s="357">
        <f>+AG37-AK37</f>
        <v>13991</v>
      </c>
      <c r="AQ37" s="357"/>
      <c r="AR37" s="357"/>
      <c r="AT37" s="393"/>
      <c r="AV37" s="185" t="s">
        <v>80</v>
      </c>
      <c r="AX37" s="393"/>
      <c r="AY37" s="357">
        <f>ROUND(AY14+NPV($C$43,AY15:AY34),0)</f>
        <v>134262</v>
      </c>
      <c r="BA37" s="357"/>
      <c r="BB37" s="357"/>
      <c r="BC37" s="357">
        <f>ROUND(BC14+NPV($C$43,BC15:BC34),0)</f>
        <v>44103</v>
      </c>
      <c r="BD37" s="357">
        <f>AY37-BC37</f>
        <v>90159</v>
      </c>
      <c r="BF37" s="336"/>
      <c r="BH37" s="357"/>
      <c r="BK37" s="357"/>
      <c r="BM37" s="357" t="s">
        <v>203</v>
      </c>
      <c r="BN37" s="357"/>
      <c r="BO37" s="357">
        <f>ROUND(BO14+NPV($C$39,BO15:BO34),0)</f>
        <v>295307</v>
      </c>
      <c r="BQ37" s="357">
        <f>ROUND(BQ14+NPV($C$39,BQ15:BQ34),0)</f>
        <v>41072</v>
      </c>
      <c r="BR37" s="357"/>
      <c r="BS37" s="369">
        <f>ROUND(BS14+NPV($C$39,BS15:BS34),0)</f>
        <v>254235</v>
      </c>
      <c r="BU37" s="336"/>
      <c r="BW37" s="357"/>
      <c r="BY37" s="357" t="s">
        <v>203</v>
      </c>
      <c r="BZ37" s="357">
        <f>ROUND(BZ14+NPV($C$41,BZ15:BZ34),0)</f>
        <v>91288</v>
      </c>
      <c r="CB37" s="357"/>
      <c r="CC37" s="357"/>
      <c r="CD37" s="357">
        <f>ROUND(CD14+NPV($C$41,CD15:CD34),0)</f>
        <v>44103</v>
      </c>
      <c r="CE37" s="357"/>
      <c r="CF37" s="369">
        <f>ROUND(CF14+NPV($C$41,CF15:CF34),0)</f>
        <v>47185</v>
      </c>
      <c r="DA37" s="333">
        <f>$J22</f>
        <v>9</v>
      </c>
    </row>
    <row r="38" spans="1:105">
      <c r="C38" s="358"/>
      <c r="E38" s="437" t="s">
        <v>98</v>
      </c>
      <c r="F38" s="274"/>
      <c r="H38" s="438">
        <f>+'Gas Input Table Summary'!$D$59</f>
        <v>0.35</v>
      </c>
      <c r="M38" s="369"/>
      <c r="N38" s="187"/>
      <c r="R38" s="321"/>
      <c r="T38" s="427"/>
      <c r="V38" s="386"/>
      <c r="X38" s="185"/>
      <c r="Z38" s="369"/>
      <c r="AA38" s="369"/>
      <c r="AB38" s="386"/>
      <c r="AE38" s="369"/>
      <c r="AG38" s="369"/>
      <c r="AH38" s="369"/>
      <c r="AQ38" s="369"/>
      <c r="AX38" s="369"/>
      <c r="AY38" s="369"/>
      <c r="AZ38" s="369"/>
      <c r="BA38" s="369"/>
      <c r="BB38" s="369"/>
      <c r="BC38" s="369"/>
      <c r="BD38" s="369"/>
      <c r="BE38" s="369"/>
      <c r="BF38" s="336"/>
      <c r="BH38" s="357"/>
      <c r="BO38" s="369"/>
      <c r="BR38" s="369"/>
      <c r="BT38" s="369"/>
      <c r="BU38" s="336"/>
      <c r="BW38" s="357"/>
      <c r="BZ38" s="369"/>
      <c r="CE38" s="369"/>
      <c r="DA38" s="333"/>
    </row>
    <row r="39" spans="1:105">
      <c r="A39" s="185" t="s">
        <v>79</v>
      </c>
      <c r="C39" s="361">
        <f>+'Gas Input Table Summary'!$D$26</f>
        <v>0.1</v>
      </c>
      <c r="E39" s="183" t="s">
        <v>225</v>
      </c>
      <c r="K39" s="185" t="s">
        <v>83</v>
      </c>
      <c r="M39" s="369"/>
      <c r="N39" s="357">
        <f>AB37</f>
        <v>-4073</v>
      </c>
      <c r="Q39" s="357"/>
      <c r="R39" s="321"/>
      <c r="T39" s="427"/>
      <c r="U39" s="427"/>
      <c r="V39" s="369"/>
      <c r="X39" s="185" t="s">
        <v>81</v>
      </c>
      <c r="Z39" s="369"/>
      <c r="AA39" s="369"/>
      <c r="AB39" s="386"/>
      <c r="AC39" s="185" t="s">
        <v>83</v>
      </c>
      <c r="AE39" s="369"/>
      <c r="AF39" s="357">
        <f>AM37</f>
        <v>13991</v>
      </c>
      <c r="AG39" s="357"/>
      <c r="AH39" s="369"/>
      <c r="AL39" s="369"/>
      <c r="AO39" s="185" t="s">
        <v>83</v>
      </c>
      <c r="AQ39" s="369"/>
      <c r="AR39" s="357">
        <f>BD37</f>
        <v>90159</v>
      </c>
      <c r="AT39" s="357"/>
      <c r="AV39" s="357"/>
      <c r="AX39" s="369"/>
      <c r="AY39" s="369"/>
      <c r="AZ39" s="439"/>
      <c r="BA39" s="369"/>
      <c r="BB39" s="369"/>
      <c r="BC39" s="369"/>
      <c r="BE39" s="369"/>
      <c r="BF39" s="185" t="s">
        <v>83</v>
      </c>
      <c r="BI39" s="357">
        <f>BS37</f>
        <v>254235</v>
      </c>
      <c r="BJ39" s="357"/>
      <c r="BO39" s="369"/>
      <c r="BR39" s="369"/>
      <c r="BS39" s="369"/>
      <c r="BT39" s="369"/>
      <c r="BU39" s="185" t="s">
        <v>83</v>
      </c>
      <c r="BX39" s="357">
        <f>CF37</f>
        <v>47185</v>
      </c>
      <c r="BY39" s="357"/>
      <c r="BZ39" s="369"/>
      <c r="CE39" s="369"/>
      <c r="CF39" s="369"/>
      <c r="DA39" s="333"/>
    </row>
    <row r="40" spans="1:105" ht="13.8" thickBot="1">
      <c r="A40" s="185"/>
      <c r="C40" s="361"/>
      <c r="F40" s="368"/>
      <c r="K40" s="185" t="s">
        <v>84</v>
      </c>
      <c r="N40" s="440">
        <f>ROUND(V37/AA37,2)</f>
        <v>0.93</v>
      </c>
      <c r="Q40" s="427"/>
      <c r="R40" s="321"/>
      <c r="AB40" s="386"/>
      <c r="AC40" s="185" t="s">
        <v>84</v>
      </c>
      <c r="AE40" s="427"/>
      <c r="AF40" s="441">
        <f>ROUND(AG37/AK37,2)</f>
        <v>1.32</v>
      </c>
      <c r="AG40" s="427"/>
      <c r="AO40" s="185" t="s">
        <v>84</v>
      </c>
      <c r="AQ40" s="427"/>
      <c r="AR40" s="441">
        <f>ROUND(AY37/BC37,2)</f>
        <v>3.04</v>
      </c>
      <c r="AT40" s="427"/>
      <c r="AV40" s="427"/>
      <c r="AY40" s="187"/>
      <c r="BC40" s="369"/>
      <c r="BF40" s="185" t="s">
        <v>84</v>
      </c>
      <c r="BI40" s="441">
        <f>ROUND(BO37/BQ37,20)</f>
        <v>7.1899834437086101</v>
      </c>
      <c r="BJ40" s="427"/>
      <c r="BU40" s="185" t="s">
        <v>84</v>
      </c>
      <c r="BX40" s="441">
        <f>ROUND(BZ37/CD37,2)</f>
        <v>2.0699999999999998</v>
      </c>
      <c r="BY40" s="427"/>
      <c r="DA40" s="333">
        <f>$J23</f>
        <v>10</v>
      </c>
    </row>
    <row r="41" spans="1:105" ht="13.8" thickTop="1">
      <c r="A41" s="185" t="s">
        <v>82</v>
      </c>
      <c r="C41" s="361">
        <f>+'Gas Input Table Summary'!$D$27</f>
        <v>7.5999999999999998E-2</v>
      </c>
      <c r="E41" s="59" t="s">
        <v>88</v>
      </c>
      <c r="F41" s="60" t="s">
        <v>89</v>
      </c>
      <c r="G41" s="61" t="s">
        <v>90</v>
      </c>
      <c r="J41" s="355"/>
      <c r="K41" s="442"/>
      <c r="L41" s="355"/>
      <c r="M41" s="355"/>
      <c r="N41" s="355"/>
      <c r="O41" s="355"/>
      <c r="Q41" s="355"/>
      <c r="R41" s="443"/>
      <c r="S41" s="355"/>
      <c r="T41" s="355"/>
      <c r="U41" s="355"/>
      <c r="V41" s="355"/>
      <c r="W41" s="355"/>
      <c r="X41" s="355"/>
      <c r="AB41" s="386"/>
      <c r="AC41" s="185"/>
      <c r="AL41" s="444"/>
      <c r="AM41" s="185"/>
      <c r="AO41" s="185"/>
      <c r="AY41" s="187"/>
      <c r="BA41" s="444"/>
      <c r="BD41" s="185"/>
      <c r="BF41" s="336"/>
      <c r="BU41" s="336"/>
      <c r="DA41" s="333">
        <f>$J24</f>
        <v>11</v>
      </c>
    </row>
    <row r="42" spans="1:105">
      <c r="E42" s="445" t="s">
        <v>5</v>
      </c>
      <c r="F42" s="446">
        <f>N39</f>
        <v>-4073</v>
      </c>
      <c r="G42" s="447">
        <f>N40</f>
        <v>0.93</v>
      </c>
      <c r="J42" s="75"/>
      <c r="K42" s="75"/>
      <c r="L42" s="448"/>
      <c r="M42" s="448"/>
      <c r="N42" s="448"/>
      <c r="O42" s="448"/>
      <c r="Q42" s="448"/>
      <c r="R42" s="448"/>
      <c r="S42" s="448"/>
      <c r="T42" s="448"/>
      <c r="U42" s="448"/>
      <c r="V42" s="448"/>
      <c r="W42" s="448"/>
      <c r="X42" s="448"/>
      <c r="AB42" s="386"/>
      <c r="AY42" s="187"/>
      <c r="BC42" s="336"/>
      <c r="DA42" s="333">
        <f>$J25</f>
        <v>12</v>
      </c>
    </row>
    <row r="43" spans="1:105">
      <c r="A43" s="187" t="s">
        <v>85</v>
      </c>
      <c r="C43" s="361">
        <f>+'Gas Input Table Summary'!$D$28</f>
        <v>3.56E-2</v>
      </c>
      <c r="E43" s="449" t="s">
        <v>6</v>
      </c>
      <c r="F43" s="374">
        <f>AF39</f>
        <v>13991</v>
      </c>
      <c r="G43" s="450">
        <f>AF40</f>
        <v>1.32</v>
      </c>
      <c r="J43" s="76" t="s">
        <v>124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8"/>
      <c r="AB43" s="386"/>
      <c r="AC43" s="76" t="s">
        <v>124</v>
      </c>
      <c r="AD43" s="77"/>
      <c r="AE43" s="451"/>
      <c r="AF43" s="451"/>
      <c r="AG43" s="452"/>
      <c r="AH43" s="452"/>
      <c r="AI43" s="452"/>
      <c r="AJ43" s="452"/>
      <c r="AM43" s="185"/>
      <c r="AO43" s="76" t="s">
        <v>124</v>
      </c>
      <c r="AP43" s="77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2"/>
      <c r="BF43" s="76" t="s">
        <v>124</v>
      </c>
      <c r="BG43" s="77"/>
      <c r="BH43" s="451"/>
      <c r="BI43" s="451"/>
      <c r="BJ43" s="452"/>
      <c r="BK43" s="452"/>
      <c r="BL43" s="452"/>
      <c r="BM43" s="452"/>
      <c r="BN43" s="448"/>
      <c r="BO43" s="448" t="s">
        <v>81</v>
      </c>
      <c r="BP43" s="448"/>
      <c r="BQ43" s="448"/>
      <c r="BU43" s="76" t="s">
        <v>124</v>
      </c>
      <c r="BV43" s="77"/>
      <c r="BW43" s="451"/>
      <c r="BX43" s="451"/>
      <c r="BY43" s="452"/>
      <c r="BZ43" s="448" t="s">
        <v>81</v>
      </c>
      <c r="CA43" s="448"/>
      <c r="CB43" s="448"/>
      <c r="CC43" s="448"/>
      <c r="CD43" s="448"/>
      <c r="CH43" s="381"/>
      <c r="DA43" s="333">
        <f>$J26</f>
        <v>13</v>
      </c>
    </row>
    <row r="44" spans="1:105">
      <c r="E44" s="453" t="s">
        <v>7</v>
      </c>
      <c r="F44" s="374">
        <f>AR39</f>
        <v>90159</v>
      </c>
      <c r="G44" s="450">
        <f>AR40</f>
        <v>3.04</v>
      </c>
      <c r="J44" s="454" t="s">
        <v>48</v>
      </c>
      <c r="K44" s="171" t="s">
        <v>121</v>
      </c>
      <c r="L44" s="455"/>
      <c r="M44" s="455"/>
      <c r="N44" s="455"/>
      <c r="O44" s="455"/>
      <c r="P44" s="455"/>
      <c r="Q44" s="455"/>
      <c r="R44" s="455"/>
      <c r="S44" s="455"/>
      <c r="T44" s="456" t="s">
        <v>56</v>
      </c>
      <c r="U44" s="171" t="s">
        <v>142</v>
      </c>
      <c r="V44" s="455"/>
      <c r="W44" s="455"/>
      <c r="X44" s="457"/>
      <c r="AB44" s="337"/>
      <c r="AC44" s="454" t="s">
        <v>48</v>
      </c>
      <c r="AD44" s="171" t="s">
        <v>162</v>
      </c>
      <c r="AE44" s="455"/>
      <c r="AF44" s="455"/>
      <c r="AG44" s="455"/>
      <c r="AH44" s="455"/>
      <c r="AI44" s="455"/>
      <c r="AJ44" s="457"/>
      <c r="AM44" s="185"/>
      <c r="AO44" s="458" t="s">
        <v>48</v>
      </c>
      <c r="AP44" s="171" t="s">
        <v>162</v>
      </c>
      <c r="AQ44" s="455"/>
      <c r="AR44" s="455"/>
      <c r="AT44" s="455"/>
      <c r="AV44" s="459" t="s">
        <v>55</v>
      </c>
      <c r="AY44" s="363" t="s">
        <v>152</v>
      </c>
      <c r="AZ44" s="339"/>
      <c r="BB44" s="339"/>
      <c r="BC44" s="455"/>
      <c r="BD44" s="457"/>
      <c r="BF44" s="460" t="s">
        <v>48</v>
      </c>
      <c r="BG44" s="171" t="s">
        <v>156</v>
      </c>
      <c r="BH44" s="455"/>
      <c r="BI44" s="455"/>
      <c r="BJ44" s="455"/>
      <c r="BK44" s="455"/>
      <c r="BL44" s="455"/>
      <c r="BM44" s="457"/>
      <c r="BU44" s="460" t="s">
        <v>48</v>
      </c>
      <c r="BV44" s="171" t="s">
        <v>162</v>
      </c>
      <c r="BW44" s="455"/>
      <c r="BX44" s="455"/>
      <c r="BY44" s="457"/>
      <c r="CH44" s="381"/>
      <c r="DA44" s="333"/>
    </row>
    <row r="45" spans="1:105">
      <c r="A45" s="185" t="s">
        <v>86</v>
      </c>
      <c r="C45" s="461">
        <f>+'Total Program'!C45</f>
        <v>2014</v>
      </c>
      <c r="E45" s="449" t="s">
        <v>8</v>
      </c>
      <c r="F45" s="374">
        <f>BI39</f>
        <v>254235</v>
      </c>
      <c r="G45" s="450">
        <f>BI40</f>
        <v>7.1899834437086101</v>
      </c>
      <c r="J45" s="462" t="s">
        <v>49</v>
      </c>
      <c r="K45" s="172" t="s">
        <v>139</v>
      </c>
      <c r="L45" s="339"/>
      <c r="M45" s="339"/>
      <c r="N45" s="339"/>
      <c r="O45" s="339"/>
      <c r="P45" s="339"/>
      <c r="Q45" s="339"/>
      <c r="R45" s="339"/>
      <c r="S45" s="339"/>
      <c r="T45" s="459" t="s">
        <v>57</v>
      </c>
      <c r="U45" s="172" t="s">
        <v>143</v>
      </c>
      <c r="V45" s="339"/>
      <c r="W45" s="339"/>
      <c r="X45" s="463"/>
      <c r="AB45" s="357"/>
      <c r="AC45" s="462" t="s">
        <v>49</v>
      </c>
      <c r="AD45" s="464" t="s">
        <v>163</v>
      </c>
      <c r="AE45" s="339"/>
      <c r="AF45" s="339"/>
      <c r="AG45" s="339"/>
      <c r="AH45" s="339"/>
      <c r="AI45" s="339"/>
      <c r="AJ45" s="463"/>
      <c r="AO45" s="465" t="s">
        <v>54</v>
      </c>
      <c r="AP45" s="172" t="s">
        <v>163</v>
      </c>
      <c r="AQ45" s="339"/>
      <c r="AR45" s="339"/>
      <c r="AT45" s="339"/>
      <c r="AV45" s="459" t="s">
        <v>56</v>
      </c>
      <c r="AY45" s="464" t="s">
        <v>153</v>
      </c>
      <c r="AZ45" s="339"/>
      <c r="BB45" s="339"/>
      <c r="BC45" s="339"/>
      <c r="BD45" s="463"/>
      <c r="BF45" s="466" t="s">
        <v>49</v>
      </c>
      <c r="BG45" s="172" t="s">
        <v>125</v>
      </c>
      <c r="BH45" s="339"/>
      <c r="BI45" s="339"/>
      <c r="BJ45" s="339"/>
      <c r="BK45" s="339"/>
      <c r="BL45" s="339"/>
      <c r="BM45" s="463"/>
      <c r="BU45" s="466" t="s">
        <v>49</v>
      </c>
      <c r="BV45" s="172" t="s">
        <v>163</v>
      </c>
      <c r="BW45" s="339"/>
      <c r="BX45" s="339"/>
      <c r="BY45" s="463"/>
      <c r="CH45" s="381"/>
      <c r="DA45" s="333"/>
    </row>
    <row r="46" spans="1:105">
      <c r="C46" s="336"/>
      <c r="E46" s="180" t="s">
        <v>216</v>
      </c>
      <c r="F46" s="467">
        <f>BX39</f>
        <v>47185</v>
      </c>
      <c r="G46" s="468">
        <f>BX40</f>
        <v>2.0699999999999998</v>
      </c>
      <c r="J46" s="462" t="s">
        <v>50</v>
      </c>
      <c r="K46" s="464" t="s">
        <v>120</v>
      </c>
      <c r="L46" s="339"/>
      <c r="M46" s="339"/>
      <c r="N46" s="339"/>
      <c r="O46" s="339"/>
      <c r="P46" s="339"/>
      <c r="Q46" s="339"/>
      <c r="R46" s="339"/>
      <c r="S46" s="339"/>
      <c r="T46" s="459" t="s">
        <v>58</v>
      </c>
      <c r="U46" s="172" t="s">
        <v>159</v>
      </c>
      <c r="V46" s="339"/>
      <c r="W46" s="339"/>
      <c r="X46" s="463"/>
      <c r="AB46" s="369"/>
      <c r="AC46" s="462" t="s">
        <v>50</v>
      </c>
      <c r="AD46" s="464" t="s">
        <v>164</v>
      </c>
      <c r="AE46" s="339"/>
      <c r="AF46" s="339"/>
      <c r="AG46" s="339"/>
      <c r="AH46" s="339"/>
      <c r="AI46" s="339"/>
      <c r="AJ46" s="463"/>
      <c r="AO46" s="465" t="s">
        <v>50</v>
      </c>
      <c r="AP46" s="173" t="s">
        <v>199</v>
      </c>
      <c r="AQ46" s="355"/>
      <c r="AR46" s="355"/>
      <c r="AT46" s="355"/>
      <c r="AV46" s="459" t="s">
        <v>57</v>
      </c>
      <c r="AY46" s="464" t="s">
        <v>154</v>
      </c>
      <c r="AZ46" s="339"/>
      <c r="BB46" s="339"/>
      <c r="BC46" s="339"/>
      <c r="BD46" s="463"/>
      <c r="BF46" s="466" t="s">
        <v>50</v>
      </c>
      <c r="BG46" s="174" t="s">
        <v>129</v>
      </c>
      <c r="BH46" s="355"/>
      <c r="BI46" s="355"/>
      <c r="BJ46" s="339"/>
      <c r="BK46" s="355"/>
      <c r="BL46" s="459"/>
      <c r="BM46" s="469"/>
      <c r="BU46" s="466" t="s">
        <v>50</v>
      </c>
      <c r="BV46" s="172" t="s">
        <v>218</v>
      </c>
      <c r="BW46" s="355"/>
      <c r="BX46" s="355"/>
      <c r="BY46" s="463"/>
      <c r="CH46" s="381"/>
      <c r="DA46" s="333"/>
    </row>
    <row r="47" spans="1:105">
      <c r="A47" s="185" t="s">
        <v>87</v>
      </c>
      <c r="C47" s="461">
        <f>+'Total Program'!C47</f>
        <v>2015</v>
      </c>
      <c r="J47" s="462" t="s">
        <v>51</v>
      </c>
      <c r="K47" s="172" t="s">
        <v>138</v>
      </c>
      <c r="L47" s="339"/>
      <c r="M47" s="339"/>
      <c r="N47" s="339"/>
      <c r="O47" s="339"/>
      <c r="P47" s="339"/>
      <c r="Q47" s="339"/>
      <c r="R47" s="339"/>
      <c r="S47" s="339"/>
      <c r="T47" s="459" t="s">
        <v>59</v>
      </c>
      <c r="U47" s="404" t="s">
        <v>160</v>
      </c>
      <c r="V47" s="339"/>
      <c r="W47" s="339"/>
      <c r="X47" s="463"/>
      <c r="AB47" s="369"/>
      <c r="AC47" s="462" t="s">
        <v>51</v>
      </c>
      <c r="AD47" s="172" t="s">
        <v>126</v>
      </c>
      <c r="AE47" s="339"/>
      <c r="AF47" s="339"/>
      <c r="AG47" s="339"/>
      <c r="AH47" s="339"/>
      <c r="AI47" s="339"/>
      <c r="AJ47" s="463"/>
      <c r="AN47" s="185"/>
      <c r="AO47" s="465" t="s">
        <v>51</v>
      </c>
      <c r="AP47" s="173" t="s">
        <v>151</v>
      </c>
      <c r="AQ47" s="355"/>
      <c r="AR47" s="355"/>
      <c r="AT47" s="355"/>
      <c r="AV47" s="459" t="s">
        <v>58</v>
      </c>
      <c r="AY47" s="464" t="s">
        <v>155</v>
      </c>
      <c r="AZ47" s="339"/>
      <c r="BB47" s="339"/>
      <c r="BC47" s="339"/>
      <c r="BD47" s="463"/>
      <c r="BF47" s="466" t="s">
        <v>51</v>
      </c>
      <c r="BG47" s="173" t="s">
        <v>130</v>
      </c>
      <c r="BH47" s="355"/>
      <c r="BI47" s="355"/>
      <c r="BJ47" s="339"/>
      <c r="BK47" s="355"/>
      <c r="BL47" s="459"/>
      <c r="BM47" s="469"/>
      <c r="BN47" s="339"/>
      <c r="BO47" s="339"/>
      <c r="BP47" s="339"/>
      <c r="BQ47" s="339"/>
      <c r="BU47" s="466" t="s">
        <v>51</v>
      </c>
      <c r="BV47" s="172" t="s">
        <v>127</v>
      </c>
      <c r="BW47" s="355"/>
      <c r="BX47" s="355"/>
      <c r="BY47" s="463"/>
      <c r="BZ47" s="339"/>
      <c r="CA47" s="339"/>
      <c r="CB47" s="339"/>
      <c r="CC47" s="339"/>
      <c r="CD47" s="339"/>
      <c r="CH47" s="381"/>
      <c r="DA47" s="333"/>
    </row>
    <row r="48" spans="1:105">
      <c r="A48" s="185"/>
      <c r="C48" s="366"/>
      <c r="J48" s="462" t="s">
        <v>52</v>
      </c>
      <c r="K48" s="464" t="s">
        <v>140</v>
      </c>
      <c r="L48" s="339"/>
      <c r="M48" s="339"/>
      <c r="N48" s="339"/>
      <c r="O48" s="348"/>
      <c r="P48" s="339"/>
      <c r="Q48" s="339"/>
      <c r="R48" s="339"/>
      <c r="S48" s="339"/>
      <c r="T48" s="459" t="s">
        <v>60</v>
      </c>
      <c r="U48" s="172" t="s">
        <v>146</v>
      </c>
      <c r="V48" s="339"/>
      <c r="W48" s="339"/>
      <c r="X48" s="463"/>
      <c r="AC48" s="462" t="s">
        <v>52</v>
      </c>
      <c r="AD48" s="172" t="s">
        <v>156</v>
      </c>
      <c r="AE48" s="339"/>
      <c r="AF48" s="339"/>
      <c r="AG48" s="339"/>
      <c r="AH48" s="339"/>
      <c r="AI48" s="339"/>
      <c r="AJ48" s="463"/>
      <c r="AO48" s="465" t="s">
        <v>52</v>
      </c>
      <c r="AP48" s="173" t="s">
        <v>134</v>
      </c>
      <c r="AQ48" s="355"/>
      <c r="AR48" s="355"/>
      <c r="AT48" s="355"/>
      <c r="AV48" s="459"/>
      <c r="AY48" s="187"/>
      <c r="AZ48" s="339"/>
      <c r="BB48" s="339"/>
      <c r="BC48" s="339"/>
      <c r="BD48" s="463"/>
      <c r="BF48" s="466" t="s">
        <v>52</v>
      </c>
      <c r="BG48" s="173" t="s">
        <v>165</v>
      </c>
      <c r="BH48" s="355"/>
      <c r="BI48" s="355"/>
      <c r="BJ48" s="339"/>
      <c r="BK48" s="355"/>
      <c r="BL48" s="355"/>
      <c r="BM48" s="463"/>
      <c r="BN48" s="339"/>
      <c r="BO48" s="339"/>
      <c r="BP48" s="339"/>
      <c r="BQ48" s="339"/>
      <c r="BU48" s="466" t="s">
        <v>52</v>
      </c>
      <c r="BV48" s="172" t="s">
        <v>222</v>
      </c>
      <c r="BW48" s="355"/>
      <c r="BX48" s="355"/>
      <c r="BY48" s="463"/>
      <c r="BZ48" s="339"/>
      <c r="CA48" s="339"/>
      <c r="CB48" s="339"/>
      <c r="CC48" s="339"/>
      <c r="CD48" s="339"/>
      <c r="CH48" s="381"/>
      <c r="DA48" s="333"/>
    </row>
    <row r="49" spans="1:107">
      <c r="A49" s="185"/>
      <c r="C49" s="336"/>
      <c r="J49" s="462" t="s">
        <v>53</v>
      </c>
      <c r="K49" s="172" t="s">
        <v>141</v>
      </c>
      <c r="L49" s="339"/>
      <c r="M49" s="339"/>
      <c r="N49" s="339"/>
      <c r="O49" s="339"/>
      <c r="P49" s="339"/>
      <c r="Q49" s="339"/>
      <c r="R49" s="339"/>
      <c r="S49" s="339"/>
      <c r="T49" s="459" t="s">
        <v>61</v>
      </c>
      <c r="U49" s="464" t="s">
        <v>128</v>
      </c>
      <c r="V49" s="339"/>
      <c r="W49" s="339"/>
      <c r="X49" s="463"/>
      <c r="AC49" s="462" t="s">
        <v>53</v>
      </c>
      <c r="AD49" s="464" t="s">
        <v>148</v>
      </c>
      <c r="AE49" s="339"/>
      <c r="AF49" s="339"/>
      <c r="AG49" s="339"/>
      <c r="AH49" s="339"/>
      <c r="AI49" s="339"/>
      <c r="AJ49" s="463"/>
      <c r="AO49" s="465" t="s">
        <v>53</v>
      </c>
      <c r="AP49" s="172" t="s">
        <v>135</v>
      </c>
      <c r="AQ49" s="339"/>
      <c r="AR49" s="339"/>
      <c r="AT49" s="339"/>
      <c r="AV49" s="459"/>
      <c r="AY49" s="187"/>
      <c r="AZ49" s="339"/>
      <c r="BB49" s="339"/>
      <c r="BC49" s="339"/>
      <c r="BD49" s="463"/>
      <c r="BF49" s="466" t="s">
        <v>53</v>
      </c>
      <c r="BG49" s="173" t="s">
        <v>365</v>
      </c>
      <c r="BH49" s="355"/>
      <c r="BI49" s="355"/>
      <c r="BJ49" s="339"/>
      <c r="BK49" s="355"/>
      <c r="BL49" s="459"/>
      <c r="BM49" s="463"/>
      <c r="BN49" s="339"/>
      <c r="BO49" s="339"/>
      <c r="BP49" s="339"/>
      <c r="BQ49" s="339"/>
      <c r="BU49" s="466" t="s">
        <v>53</v>
      </c>
      <c r="BV49" s="172" t="s">
        <v>223</v>
      </c>
      <c r="BW49" s="355"/>
      <c r="BX49" s="355"/>
      <c r="BY49" s="463"/>
      <c r="BZ49" s="339"/>
      <c r="CA49" s="339"/>
      <c r="CB49" s="339"/>
      <c r="CC49" s="339"/>
      <c r="CD49" s="339"/>
      <c r="DA49" s="333">
        <f>$J27</f>
        <v>14</v>
      </c>
    </row>
    <row r="50" spans="1:107">
      <c r="J50" s="462" t="s">
        <v>54</v>
      </c>
      <c r="K50" s="172" t="s">
        <v>122</v>
      </c>
      <c r="L50" s="339"/>
      <c r="M50" s="339"/>
      <c r="N50" s="339"/>
      <c r="O50" s="339"/>
      <c r="P50" s="339"/>
      <c r="Q50" s="339"/>
      <c r="R50" s="339"/>
      <c r="S50" s="339"/>
      <c r="T50" s="459" t="s">
        <v>137</v>
      </c>
      <c r="U50" s="464" t="s">
        <v>161</v>
      </c>
      <c r="V50" s="339"/>
      <c r="W50" s="339"/>
      <c r="X50" s="463"/>
      <c r="AC50" s="180" t="s">
        <v>54</v>
      </c>
      <c r="AD50" s="470" t="s">
        <v>149</v>
      </c>
      <c r="AE50" s="346"/>
      <c r="AF50" s="346"/>
      <c r="AG50" s="346"/>
      <c r="AH50" s="346"/>
      <c r="AI50" s="346"/>
      <c r="AJ50" s="471"/>
      <c r="AO50" s="472" t="s">
        <v>54</v>
      </c>
      <c r="AP50" s="473" t="s">
        <v>150</v>
      </c>
      <c r="AQ50" s="346"/>
      <c r="AR50" s="346"/>
      <c r="AS50" s="346"/>
      <c r="AT50" s="346"/>
      <c r="AU50" s="346"/>
      <c r="AV50" s="474"/>
      <c r="AW50" s="474"/>
      <c r="AX50" s="474"/>
      <c r="AY50" s="474"/>
      <c r="AZ50" s="346"/>
      <c r="BA50" s="346"/>
      <c r="BB50" s="346"/>
      <c r="BC50" s="346"/>
      <c r="BD50" s="471"/>
      <c r="BF50" s="466" t="s">
        <v>54</v>
      </c>
      <c r="BG50" s="173" t="s">
        <v>157</v>
      </c>
      <c r="BH50" s="355"/>
      <c r="BI50" s="355"/>
      <c r="BJ50" s="339"/>
      <c r="BK50" s="355"/>
      <c r="BL50" s="459"/>
      <c r="BM50" s="463"/>
      <c r="BN50" s="339"/>
      <c r="BO50" s="339"/>
      <c r="BP50" s="339"/>
      <c r="BQ50" s="339"/>
      <c r="BU50" s="466" t="s">
        <v>54</v>
      </c>
      <c r="BV50" s="173" t="s">
        <v>219</v>
      </c>
      <c r="BW50" s="355"/>
      <c r="BX50" s="355"/>
      <c r="BY50" s="463"/>
      <c r="BZ50" s="339"/>
      <c r="CA50" s="339"/>
      <c r="CB50" s="339"/>
      <c r="CC50" s="339"/>
      <c r="CD50" s="339"/>
      <c r="DA50" s="333">
        <f>$J28</f>
        <v>15</v>
      </c>
    </row>
    <row r="51" spans="1:107" ht="14.1" customHeight="1">
      <c r="A51" s="339"/>
      <c r="B51" s="339"/>
      <c r="C51" s="339"/>
      <c r="J51" s="475" t="s">
        <v>55</v>
      </c>
      <c r="K51" s="476" t="s">
        <v>123</v>
      </c>
      <c r="L51" s="346"/>
      <c r="M51" s="346"/>
      <c r="N51" s="346"/>
      <c r="O51" s="346"/>
      <c r="P51" s="346"/>
      <c r="Q51" s="346"/>
      <c r="R51" s="346"/>
      <c r="S51" s="346"/>
      <c r="T51" s="474" t="s">
        <v>145</v>
      </c>
      <c r="U51" s="476" t="s">
        <v>147</v>
      </c>
      <c r="V51" s="346"/>
      <c r="W51" s="346"/>
      <c r="X51" s="471"/>
      <c r="AC51" s="459"/>
      <c r="AD51" s="339"/>
      <c r="AE51" s="339"/>
      <c r="AF51" s="339"/>
      <c r="AG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F51" s="466" t="s">
        <v>55</v>
      </c>
      <c r="BG51" s="174" t="s">
        <v>166</v>
      </c>
      <c r="BH51" s="339"/>
      <c r="BI51" s="339"/>
      <c r="BJ51" s="339"/>
      <c r="BK51" s="339"/>
      <c r="BL51" s="339"/>
      <c r="BM51" s="463"/>
      <c r="BN51" s="339"/>
      <c r="BO51" s="339"/>
      <c r="BP51" s="339"/>
      <c r="BQ51" s="339"/>
      <c r="BU51" s="466" t="s">
        <v>55</v>
      </c>
      <c r="BV51" s="174" t="s">
        <v>220</v>
      </c>
      <c r="BW51" s="339"/>
      <c r="BX51" s="339"/>
      <c r="BY51" s="463"/>
      <c r="BZ51" s="339"/>
      <c r="CA51" s="339"/>
      <c r="CB51" s="339"/>
      <c r="CC51" s="339"/>
      <c r="CD51" s="339"/>
      <c r="DA51" s="333">
        <f>$J29</f>
        <v>16</v>
      </c>
    </row>
    <row r="52" spans="1:107" ht="14.1" customHeight="1">
      <c r="A52" s="477"/>
      <c r="B52" s="339"/>
      <c r="C52" s="478"/>
      <c r="K52" s="193"/>
      <c r="N52" s="187"/>
      <c r="R52" s="32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F52" s="479" t="s">
        <v>56</v>
      </c>
      <c r="BG52" s="480" t="s">
        <v>158</v>
      </c>
      <c r="BH52" s="481"/>
      <c r="BI52" s="481"/>
      <c r="BJ52" s="481"/>
      <c r="BK52" s="481"/>
      <c r="BL52" s="346"/>
      <c r="BM52" s="471"/>
      <c r="BU52" s="479"/>
      <c r="BV52" s="346"/>
      <c r="BW52" s="481"/>
      <c r="BX52" s="481"/>
      <c r="BY52" s="482"/>
      <c r="CK52" s="427"/>
      <c r="DA52" s="369"/>
    </row>
    <row r="53" spans="1:107" ht="14.1" customHeight="1">
      <c r="A53" s="339"/>
      <c r="B53" s="339"/>
      <c r="C53" s="477"/>
      <c r="K53" s="193"/>
      <c r="N53" s="187"/>
      <c r="R53" s="321"/>
      <c r="AB53" s="369"/>
      <c r="AO53" s="45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F53" s="483"/>
      <c r="BG53" s="339"/>
      <c r="BH53" s="355"/>
      <c r="BI53" s="355"/>
      <c r="BJ53" s="355"/>
      <c r="BK53" s="355"/>
      <c r="BL53" s="339"/>
      <c r="BM53" s="339"/>
      <c r="BU53" s="483"/>
      <c r="BV53" s="339"/>
      <c r="BW53" s="355"/>
      <c r="BX53" s="355"/>
      <c r="BY53" s="355"/>
      <c r="CK53" s="357"/>
      <c r="DC53" s="369"/>
    </row>
    <row r="54" spans="1:107" ht="14.1" customHeight="1">
      <c r="C54" s="484"/>
      <c r="K54" s="193"/>
      <c r="N54" s="187"/>
      <c r="R54" s="321"/>
      <c r="AO54" s="485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G54" s="336"/>
      <c r="BV54" s="336"/>
    </row>
    <row r="55" spans="1:107" ht="14.1" customHeight="1">
      <c r="C55" s="484"/>
      <c r="N55" s="187"/>
      <c r="R55" s="321"/>
      <c r="AO55" s="485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G55" s="336"/>
      <c r="BV55" s="336"/>
    </row>
    <row r="56" spans="1:107">
      <c r="C56" s="486"/>
      <c r="N56" s="187"/>
      <c r="Q56" s="321"/>
      <c r="AN56" s="477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F56" s="336"/>
      <c r="BU56" s="336"/>
    </row>
    <row r="57" spans="1:107">
      <c r="C57" s="487"/>
      <c r="N57" s="187"/>
      <c r="Q57" s="321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F57" s="336"/>
      <c r="BU57" s="336"/>
    </row>
    <row r="58" spans="1:107">
      <c r="C58" s="487"/>
      <c r="N58" s="187"/>
      <c r="Q58" s="321"/>
      <c r="AY58" s="187"/>
      <c r="BF58" s="336"/>
      <c r="BU58" s="336"/>
    </row>
    <row r="59" spans="1:107">
      <c r="C59" s="488"/>
      <c r="N59" s="187"/>
      <c r="Q59" s="321"/>
      <c r="AY59" s="187"/>
      <c r="BF59" s="336"/>
      <c r="BU59" s="336"/>
    </row>
    <row r="60" spans="1:107">
      <c r="N60" s="187"/>
      <c r="Q60" s="321"/>
      <c r="AY60" s="187"/>
      <c r="BF60" s="336"/>
      <c r="BU60" s="336"/>
    </row>
    <row r="61" spans="1:107">
      <c r="N61" s="187"/>
      <c r="Q61" s="321"/>
      <c r="AY61" s="187"/>
      <c r="BF61" s="336"/>
      <c r="BU61" s="336"/>
    </row>
    <row r="62" spans="1:107" ht="12" customHeight="1">
      <c r="N62" s="187"/>
      <c r="Q62" s="321"/>
      <c r="AY62" s="187"/>
      <c r="BF62" s="336"/>
      <c r="BU62" s="336"/>
    </row>
    <row r="63" spans="1:107">
      <c r="D63" s="339"/>
      <c r="E63" s="339"/>
      <c r="F63" s="489"/>
      <c r="G63" s="489"/>
      <c r="N63" s="187"/>
      <c r="Q63" s="321"/>
      <c r="AY63" s="187"/>
      <c r="BF63" s="336"/>
      <c r="BU63" s="336"/>
    </row>
    <row r="64" spans="1:107">
      <c r="D64" s="339"/>
      <c r="E64" s="339"/>
      <c r="F64" s="489"/>
      <c r="G64" s="489"/>
      <c r="N64" s="187"/>
      <c r="Q64" s="321"/>
      <c r="AY64" s="187"/>
      <c r="BF64" s="336"/>
      <c r="BU64" s="336"/>
    </row>
    <row r="65" spans="1:73">
      <c r="C65" s="357"/>
      <c r="D65" s="339"/>
      <c r="E65" s="339"/>
      <c r="F65" s="339"/>
      <c r="G65" s="339"/>
      <c r="N65" s="187"/>
      <c r="Q65" s="321"/>
      <c r="AY65" s="187"/>
      <c r="BF65" s="336"/>
      <c r="BU65" s="336"/>
    </row>
    <row r="66" spans="1:73">
      <c r="A66" s="44"/>
      <c r="B66" s="185"/>
      <c r="D66" s="339"/>
      <c r="E66" s="339"/>
      <c r="F66" s="339"/>
      <c r="G66" s="339"/>
      <c r="N66" s="187"/>
      <c r="Q66" s="321"/>
      <c r="AY66" s="187"/>
      <c r="BF66" s="336"/>
      <c r="BU66" s="336"/>
    </row>
    <row r="67" spans="1:73">
      <c r="A67" s="44"/>
      <c r="B67" s="185"/>
      <c r="D67" s="339"/>
      <c r="E67" s="339"/>
      <c r="F67" s="339"/>
      <c r="G67" s="339"/>
      <c r="N67" s="187"/>
      <c r="Q67" s="321"/>
      <c r="AY67" s="187"/>
      <c r="BF67" s="336"/>
      <c r="BU67" s="336"/>
    </row>
    <row r="68" spans="1:73">
      <c r="N68" s="187"/>
      <c r="Q68" s="321"/>
      <c r="AY68" s="187"/>
      <c r="BF68" s="336"/>
      <c r="BU68" s="336"/>
    </row>
    <row r="69" spans="1:73">
      <c r="N69" s="187"/>
      <c r="Q69" s="321"/>
      <c r="AY69" s="187"/>
      <c r="BF69" s="336"/>
      <c r="BU69" s="336"/>
    </row>
    <row r="70" spans="1:73">
      <c r="N70" s="187"/>
      <c r="Q70" s="321"/>
      <c r="AY70" s="187"/>
      <c r="BF70" s="336"/>
      <c r="BU70" s="336"/>
    </row>
    <row r="71" spans="1:73">
      <c r="N71" s="187"/>
      <c r="Q71" s="321"/>
      <c r="AY71" s="187"/>
      <c r="BF71" s="336"/>
      <c r="BU71" s="336"/>
    </row>
    <row r="72" spans="1:73">
      <c r="N72" s="187"/>
      <c r="Q72" s="321"/>
      <c r="AY72" s="187"/>
      <c r="BF72" s="336"/>
      <c r="BU72" s="336"/>
    </row>
    <row r="73" spans="1:73">
      <c r="N73" s="187"/>
      <c r="Q73" s="321"/>
      <c r="AY73" s="187"/>
      <c r="BF73" s="336"/>
      <c r="BU73" s="336"/>
    </row>
    <row r="74" spans="1:73">
      <c r="N74" s="187"/>
      <c r="Q74" s="321"/>
      <c r="AY74" s="187"/>
      <c r="BF74" s="336"/>
      <c r="BU74" s="336"/>
    </row>
    <row r="75" spans="1:73">
      <c r="N75" s="187"/>
      <c r="Q75" s="321"/>
      <c r="AY75" s="187"/>
      <c r="BF75" s="336"/>
      <c r="BU75" s="336"/>
    </row>
    <row r="76" spans="1:73">
      <c r="N76" s="187"/>
      <c r="Q76" s="321"/>
      <c r="AY76" s="187"/>
      <c r="BF76" s="336"/>
      <c r="BU76" s="336"/>
    </row>
    <row r="77" spans="1:73">
      <c r="N77" s="187"/>
      <c r="Q77" s="321"/>
      <c r="AY77" s="187"/>
      <c r="BF77" s="336"/>
      <c r="BU77" s="336"/>
    </row>
    <row r="78" spans="1:73">
      <c r="N78" s="187"/>
      <c r="Q78" s="321"/>
      <c r="AY78" s="187"/>
      <c r="BF78" s="336"/>
      <c r="BU78" s="336"/>
    </row>
    <row r="79" spans="1:73">
      <c r="N79" s="187"/>
      <c r="Q79" s="321"/>
      <c r="AY79" s="187"/>
      <c r="BF79" s="336"/>
      <c r="BU79" s="336"/>
    </row>
    <row r="80" spans="1:73">
      <c r="N80" s="187"/>
      <c r="Q80" s="321"/>
      <c r="AY80" s="187"/>
      <c r="BF80" s="336"/>
      <c r="BU80" s="336"/>
    </row>
    <row r="81" spans="6:73">
      <c r="F81" s="444"/>
      <c r="G81" s="444"/>
      <c r="N81" s="187"/>
      <c r="Q81" s="321"/>
      <c r="AY81" s="187"/>
      <c r="BF81" s="336"/>
      <c r="BU81" s="336"/>
    </row>
    <row r="82" spans="6:73">
      <c r="N82" s="187"/>
      <c r="Q82" s="321"/>
      <c r="AY82" s="187"/>
      <c r="BF82" s="336"/>
      <c r="BU82" s="336"/>
    </row>
    <row r="83" spans="6:73">
      <c r="N83" s="187"/>
      <c r="Q83" s="321"/>
      <c r="AY83" s="187"/>
      <c r="BF83" s="336"/>
      <c r="BU83" s="336"/>
    </row>
    <row r="84" spans="6:73">
      <c r="N84" s="187"/>
      <c r="Q84" s="321"/>
      <c r="AY84" s="187"/>
      <c r="BF84" s="336"/>
      <c r="BU84" s="336"/>
    </row>
    <row r="85" spans="6:73">
      <c r="N85" s="187"/>
      <c r="Q85" s="321"/>
      <c r="AY85" s="187"/>
      <c r="BF85" s="336"/>
      <c r="BU85" s="336"/>
    </row>
    <row r="86" spans="6:73">
      <c r="N86" s="187"/>
      <c r="Q86" s="321"/>
      <c r="AY86" s="187"/>
      <c r="BF86" s="336"/>
      <c r="BU86" s="336"/>
    </row>
    <row r="87" spans="6:73">
      <c r="N87" s="187"/>
      <c r="Q87" s="321"/>
      <c r="AY87" s="187"/>
      <c r="BF87" s="336"/>
      <c r="BU87" s="336"/>
    </row>
    <row r="88" spans="6:73">
      <c r="N88" s="187"/>
      <c r="Q88" s="321"/>
      <c r="AY88" s="187"/>
      <c r="BF88" s="336"/>
      <c r="BU88" s="336"/>
    </row>
    <row r="89" spans="6:73">
      <c r="N89" s="187"/>
      <c r="Q89" s="321"/>
      <c r="AY89" s="187"/>
      <c r="BF89" s="336"/>
      <c r="BU89" s="336"/>
    </row>
    <row r="90" spans="6:73">
      <c r="N90" s="187"/>
      <c r="Q90" s="321"/>
      <c r="AY90" s="187"/>
      <c r="BF90" s="336"/>
      <c r="BU90" s="336"/>
    </row>
    <row r="91" spans="6:73">
      <c r="N91" s="187"/>
      <c r="Q91" s="321"/>
      <c r="AY91" s="187"/>
      <c r="BF91" s="336"/>
      <c r="BU91" s="336"/>
    </row>
    <row r="92" spans="6:73">
      <c r="N92" s="187"/>
      <c r="Q92" s="321"/>
      <c r="AY92" s="187"/>
      <c r="BF92" s="336"/>
      <c r="BU92" s="336"/>
    </row>
    <row r="93" spans="6:73">
      <c r="N93" s="187"/>
      <c r="Q93" s="321"/>
      <c r="AY93" s="187"/>
      <c r="BF93" s="336"/>
      <c r="BU93" s="336"/>
    </row>
    <row r="94" spans="6:73">
      <c r="N94" s="187"/>
      <c r="Q94" s="321"/>
      <c r="AY94" s="187"/>
      <c r="BF94" s="336"/>
      <c r="BU94" s="336"/>
    </row>
    <row r="95" spans="6:73">
      <c r="N95" s="187"/>
      <c r="Q95" s="321"/>
      <c r="AY95" s="187"/>
      <c r="BF95" s="336"/>
      <c r="BU95" s="336"/>
    </row>
    <row r="96" spans="6:73">
      <c r="N96" s="187"/>
      <c r="Q96" s="321"/>
      <c r="AY96" s="187"/>
      <c r="BF96" s="336"/>
      <c r="BU96" s="336"/>
    </row>
    <row r="97" spans="1:73">
      <c r="N97" s="187"/>
      <c r="Q97" s="321"/>
      <c r="AY97" s="187"/>
      <c r="BF97" s="336"/>
      <c r="BU97" s="336"/>
    </row>
    <row r="98" spans="1:73">
      <c r="N98" s="187"/>
      <c r="Q98" s="321"/>
      <c r="AY98" s="187"/>
      <c r="BF98" s="336"/>
      <c r="BU98" s="336"/>
    </row>
    <row r="99" spans="1:73">
      <c r="N99" s="187"/>
      <c r="Q99" s="321"/>
      <c r="AY99" s="187"/>
      <c r="BF99" s="336"/>
      <c r="BU99" s="336"/>
    </row>
    <row r="100" spans="1:73">
      <c r="N100" s="187"/>
      <c r="Q100" s="321"/>
      <c r="AY100" s="187"/>
      <c r="BF100" s="336"/>
      <c r="BU100" s="336"/>
    </row>
    <row r="101" spans="1:73">
      <c r="N101" s="187"/>
      <c r="Q101" s="321"/>
      <c r="AY101" s="187"/>
      <c r="BF101" s="336"/>
      <c r="BU101" s="336"/>
    </row>
    <row r="102" spans="1:73">
      <c r="N102" s="187"/>
      <c r="Q102" s="321"/>
      <c r="AY102" s="187"/>
      <c r="BF102" s="336"/>
      <c r="BU102" s="336"/>
    </row>
    <row r="103" spans="1:73">
      <c r="N103" s="187"/>
      <c r="Q103" s="321"/>
      <c r="AY103" s="187"/>
      <c r="BF103" s="336"/>
      <c r="BU103" s="336"/>
    </row>
    <row r="104" spans="1:73">
      <c r="N104" s="187"/>
      <c r="Q104" s="321"/>
      <c r="AY104" s="187"/>
      <c r="BF104" s="336"/>
      <c r="BU104" s="336"/>
    </row>
    <row r="105" spans="1:73">
      <c r="E105" s="490"/>
      <c r="N105" s="187"/>
      <c r="Q105" s="321"/>
      <c r="AY105" s="187"/>
      <c r="BF105" s="336"/>
      <c r="BU105" s="336"/>
    </row>
    <row r="106" spans="1:73">
      <c r="N106" s="187"/>
      <c r="Q106" s="321"/>
      <c r="AY106" s="187"/>
      <c r="BF106" s="336"/>
      <c r="BU106" s="336"/>
    </row>
    <row r="107" spans="1:73">
      <c r="N107" s="187"/>
      <c r="Q107" s="321"/>
      <c r="AY107" s="187"/>
      <c r="BF107" s="336"/>
      <c r="BU107" s="336"/>
    </row>
    <row r="108" spans="1:73">
      <c r="N108" s="187"/>
      <c r="Q108" s="321"/>
      <c r="AY108" s="187"/>
      <c r="BF108" s="336"/>
      <c r="BU108" s="336"/>
    </row>
    <row r="109" spans="1:73">
      <c r="N109" s="187"/>
      <c r="Q109" s="321"/>
      <c r="AY109" s="187"/>
      <c r="BF109" s="336"/>
      <c r="BU109" s="336"/>
    </row>
    <row r="110" spans="1:73">
      <c r="N110" s="187"/>
      <c r="Q110" s="321"/>
      <c r="AY110" s="187"/>
      <c r="BF110" s="336"/>
      <c r="BU110" s="336"/>
    </row>
    <row r="111" spans="1:73">
      <c r="A111" s="44"/>
      <c r="B111" s="185"/>
      <c r="N111" s="187"/>
      <c r="Q111" s="321"/>
      <c r="AY111" s="187"/>
      <c r="BF111" s="336"/>
      <c r="BU111" s="336"/>
    </row>
    <row r="112" spans="1:73">
      <c r="N112" s="187"/>
      <c r="Q112" s="321"/>
      <c r="AY112" s="187"/>
      <c r="BF112" s="336"/>
      <c r="BU112" s="336"/>
    </row>
    <row r="113" spans="1:73">
      <c r="N113" s="187"/>
      <c r="Q113" s="321"/>
      <c r="AY113" s="187"/>
      <c r="BF113" s="336"/>
      <c r="BU113" s="336"/>
    </row>
    <row r="114" spans="1:73">
      <c r="N114" s="187"/>
      <c r="Q114" s="321"/>
      <c r="AY114" s="187"/>
      <c r="BF114" s="336"/>
      <c r="BU114" s="336"/>
    </row>
    <row r="115" spans="1:73">
      <c r="N115" s="187"/>
      <c r="Q115" s="321"/>
      <c r="AY115" s="187"/>
      <c r="BF115" s="336"/>
      <c r="BU115" s="336"/>
    </row>
    <row r="116" spans="1:73">
      <c r="N116" s="187"/>
      <c r="Q116" s="321"/>
      <c r="AY116" s="187"/>
      <c r="BF116" s="336"/>
      <c r="BU116" s="336"/>
    </row>
    <row r="117" spans="1:73">
      <c r="N117" s="187"/>
      <c r="Q117" s="321"/>
      <c r="AY117" s="187"/>
      <c r="BF117" s="336"/>
      <c r="BU117" s="336"/>
    </row>
    <row r="118" spans="1:73">
      <c r="N118" s="187"/>
      <c r="Q118" s="321"/>
      <c r="AY118" s="187"/>
      <c r="BF118" s="336"/>
      <c r="BU118" s="336"/>
    </row>
    <row r="119" spans="1:73">
      <c r="N119" s="187"/>
      <c r="Q119" s="321"/>
      <c r="AY119" s="187"/>
      <c r="BF119" s="336"/>
      <c r="BU119" s="336"/>
    </row>
    <row r="120" spans="1:73">
      <c r="N120" s="187"/>
      <c r="Q120" s="321"/>
      <c r="AY120" s="187"/>
      <c r="BF120" s="336"/>
      <c r="BU120" s="336"/>
    </row>
    <row r="121" spans="1:73">
      <c r="N121" s="187"/>
      <c r="Q121" s="321"/>
      <c r="AY121" s="187"/>
      <c r="BF121" s="336"/>
      <c r="BU121" s="336"/>
    </row>
    <row r="122" spans="1:73">
      <c r="N122" s="187"/>
      <c r="Q122" s="321"/>
      <c r="AY122" s="187"/>
      <c r="BF122" s="336"/>
      <c r="BU122" s="336"/>
    </row>
    <row r="123" spans="1:73">
      <c r="N123" s="187"/>
      <c r="Q123" s="321"/>
      <c r="AY123" s="187"/>
      <c r="BF123" s="336"/>
      <c r="BU123" s="336"/>
    </row>
    <row r="124" spans="1:73">
      <c r="N124" s="187"/>
      <c r="Q124" s="321"/>
      <c r="AY124" s="187"/>
      <c r="BF124" s="336"/>
      <c r="BU124" s="336"/>
    </row>
    <row r="125" spans="1:73">
      <c r="N125" s="187"/>
      <c r="Q125" s="321"/>
      <c r="AY125" s="187"/>
      <c r="BF125" s="336"/>
      <c r="BU125" s="336"/>
    </row>
    <row r="126" spans="1:73">
      <c r="N126" s="187"/>
      <c r="Q126" s="321"/>
      <c r="AY126" s="187"/>
      <c r="BF126" s="336"/>
      <c r="BU126" s="336"/>
    </row>
    <row r="127" spans="1:73">
      <c r="N127" s="187"/>
      <c r="Q127" s="321"/>
      <c r="AY127" s="187"/>
      <c r="BF127" s="336"/>
      <c r="BU127" s="336"/>
    </row>
    <row r="128" spans="1:73">
      <c r="A128" s="185"/>
      <c r="N128" s="187"/>
      <c r="Q128" s="321"/>
      <c r="AY128" s="187"/>
      <c r="BF128" s="336"/>
      <c r="BU128" s="336"/>
    </row>
    <row r="129" spans="1:73">
      <c r="A129" s="185"/>
      <c r="N129" s="187"/>
      <c r="Q129" s="321"/>
      <c r="AY129" s="187"/>
      <c r="BF129" s="336"/>
      <c r="BU129" s="336"/>
    </row>
    <row r="130" spans="1:73">
      <c r="A130" s="185"/>
      <c r="B130" s="185"/>
      <c r="N130" s="187"/>
      <c r="Q130" s="321"/>
      <c r="AY130" s="187"/>
      <c r="BF130" s="336"/>
      <c r="BU130" s="336"/>
    </row>
    <row r="131" spans="1:73">
      <c r="N131" s="187"/>
      <c r="Q131" s="321"/>
      <c r="AY131" s="187"/>
      <c r="BF131" s="336"/>
      <c r="BU131" s="336"/>
    </row>
    <row r="132" spans="1:73">
      <c r="A132" s="185"/>
      <c r="B132" s="185"/>
      <c r="N132" s="187"/>
      <c r="Q132" s="321"/>
      <c r="AY132" s="187"/>
      <c r="BF132" s="336"/>
      <c r="BU132" s="336"/>
    </row>
    <row r="133" spans="1:73">
      <c r="N133" s="187"/>
      <c r="Q133" s="321"/>
      <c r="AY133" s="187"/>
      <c r="BF133" s="336"/>
      <c r="BU133" s="336"/>
    </row>
    <row r="134" spans="1:73">
      <c r="A134" s="185"/>
      <c r="B134" s="185"/>
      <c r="N134" s="187"/>
      <c r="Q134" s="321"/>
      <c r="AY134" s="187"/>
      <c r="BF134" s="336"/>
      <c r="BU134" s="336"/>
    </row>
    <row r="135" spans="1:73">
      <c r="N135" s="187"/>
      <c r="Q135" s="321"/>
      <c r="AY135" s="187"/>
      <c r="BF135" s="336"/>
      <c r="BU135" s="336"/>
    </row>
    <row r="136" spans="1:73">
      <c r="A136" s="185"/>
      <c r="B136" s="185"/>
      <c r="N136" s="187"/>
      <c r="Q136" s="321"/>
      <c r="AY136" s="187"/>
      <c r="BF136" s="336"/>
      <c r="BU136" s="336"/>
    </row>
    <row r="137" spans="1:73">
      <c r="N137" s="187"/>
      <c r="Q137" s="321"/>
      <c r="AY137" s="187"/>
      <c r="BF137" s="336"/>
      <c r="BU137" s="336"/>
    </row>
    <row r="138" spans="1:73">
      <c r="A138" s="185"/>
      <c r="B138" s="185"/>
      <c r="N138" s="187"/>
      <c r="Q138" s="321"/>
      <c r="AY138" s="187"/>
      <c r="BF138" s="336"/>
      <c r="BU138" s="336"/>
    </row>
    <row r="139" spans="1:73">
      <c r="N139" s="187"/>
      <c r="Q139" s="321"/>
      <c r="AY139" s="187"/>
      <c r="BF139" s="336"/>
      <c r="BU139" s="336"/>
    </row>
    <row r="140" spans="1:73">
      <c r="A140" s="185"/>
      <c r="B140" s="185"/>
      <c r="N140" s="187"/>
      <c r="Q140" s="321"/>
      <c r="AY140" s="187"/>
      <c r="BF140" s="336"/>
      <c r="BU140" s="336"/>
    </row>
    <row r="141" spans="1:73">
      <c r="N141" s="187"/>
      <c r="Q141" s="321"/>
      <c r="AY141" s="187"/>
      <c r="BF141" s="336"/>
      <c r="BU141" s="336"/>
    </row>
    <row r="142" spans="1:73">
      <c r="A142" s="185"/>
      <c r="B142" s="185"/>
      <c r="N142" s="187"/>
      <c r="Q142" s="321"/>
      <c r="AY142" s="187"/>
      <c r="BF142" s="336"/>
      <c r="BU142" s="336"/>
    </row>
    <row r="143" spans="1:73">
      <c r="N143" s="187"/>
      <c r="Q143" s="321"/>
      <c r="AY143" s="187"/>
      <c r="BF143" s="336"/>
      <c r="BU143" s="336"/>
    </row>
    <row r="144" spans="1:73">
      <c r="A144" s="185"/>
      <c r="B144" s="185"/>
      <c r="N144" s="187"/>
      <c r="Q144" s="321"/>
      <c r="AY144" s="187"/>
      <c r="BF144" s="336"/>
      <c r="BU144" s="336"/>
    </row>
    <row r="145" spans="1:73">
      <c r="N145" s="187"/>
      <c r="Q145" s="321"/>
      <c r="AY145" s="187"/>
      <c r="BF145" s="336"/>
      <c r="BU145" s="336"/>
    </row>
    <row r="146" spans="1:73">
      <c r="N146" s="187"/>
      <c r="Q146" s="321"/>
      <c r="AY146" s="187"/>
      <c r="BF146" s="336"/>
      <c r="BU146" s="336"/>
    </row>
    <row r="147" spans="1:73">
      <c r="N147" s="187"/>
      <c r="Q147" s="321"/>
      <c r="AY147" s="187"/>
      <c r="BF147" s="336"/>
      <c r="BU147" s="336"/>
    </row>
    <row r="148" spans="1:73">
      <c r="A148" s="185"/>
      <c r="N148" s="187"/>
      <c r="Q148" s="321"/>
      <c r="AY148" s="187"/>
      <c r="BF148" s="336"/>
      <c r="BU148" s="336"/>
    </row>
    <row r="149" spans="1:73">
      <c r="A149" s="185"/>
      <c r="N149" s="187"/>
      <c r="Q149" s="321"/>
      <c r="AY149" s="187"/>
      <c r="BF149" s="336"/>
      <c r="BU149" s="336"/>
    </row>
    <row r="150" spans="1:73">
      <c r="A150" s="185"/>
      <c r="B150" s="185"/>
      <c r="N150" s="187"/>
      <c r="Q150" s="321"/>
      <c r="AY150" s="187"/>
      <c r="BF150" s="336"/>
      <c r="BU150" s="336"/>
    </row>
    <row r="151" spans="1:73">
      <c r="B151" s="185"/>
      <c r="N151" s="187"/>
      <c r="Q151" s="321"/>
      <c r="AY151" s="187"/>
      <c r="BF151" s="336"/>
      <c r="BU151" s="336"/>
    </row>
    <row r="152" spans="1:73">
      <c r="B152" s="185"/>
      <c r="N152" s="187"/>
      <c r="Q152" s="321"/>
      <c r="AY152" s="187"/>
      <c r="BF152" s="336"/>
      <c r="BU152" s="336"/>
    </row>
    <row r="153" spans="1:73">
      <c r="B153" s="185"/>
      <c r="N153" s="187"/>
      <c r="Q153" s="321"/>
      <c r="AY153" s="187"/>
      <c r="BF153" s="336"/>
      <c r="BU153" s="336"/>
    </row>
    <row r="154" spans="1:73">
      <c r="B154" s="185"/>
      <c r="N154" s="187"/>
      <c r="Q154" s="321"/>
      <c r="AY154" s="187"/>
      <c r="BF154" s="336"/>
      <c r="BU154" s="336"/>
    </row>
    <row r="155" spans="1:73">
      <c r="B155" s="185"/>
      <c r="N155" s="187"/>
      <c r="Q155" s="321"/>
      <c r="AY155" s="187"/>
      <c r="BF155" s="336"/>
      <c r="BU155" s="336"/>
    </row>
    <row r="156" spans="1:73">
      <c r="B156" s="185"/>
      <c r="N156" s="187"/>
      <c r="Q156" s="321"/>
      <c r="AY156" s="187"/>
      <c r="BF156" s="336"/>
      <c r="BU156" s="336"/>
    </row>
    <row r="157" spans="1:73">
      <c r="B157" s="185"/>
      <c r="N157" s="187"/>
      <c r="Q157" s="321"/>
      <c r="AY157" s="187"/>
      <c r="BF157" s="336"/>
      <c r="BU157" s="336"/>
    </row>
    <row r="158" spans="1:73">
      <c r="N158" s="187"/>
      <c r="Q158" s="321"/>
      <c r="AY158" s="187"/>
      <c r="BF158" s="336"/>
      <c r="BU158" s="336"/>
    </row>
    <row r="159" spans="1:73">
      <c r="N159" s="187"/>
      <c r="Q159" s="321"/>
      <c r="AY159" s="187"/>
      <c r="BF159" s="336"/>
      <c r="BU159" s="336"/>
    </row>
    <row r="160" spans="1:73">
      <c r="N160" s="187"/>
      <c r="Q160" s="321"/>
      <c r="AY160" s="187"/>
      <c r="BF160" s="336"/>
      <c r="BU160" s="336"/>
    </row>
    <row r="161" spans="1:73">
      <c r="A161" s="185"/>
      <c r="B161" s="185"/>
      <c r="N161" s="187"/>
      <c r="Q161" s="321"/>
      <c r="AY161" s="187"/>
      <c r="BF161" s="336"/>
      <c r="BU161" s="336"/>
    </row>
    <row r="162" spans="1:73">
      <c r="B162" s="185"/>
      <c r="N162" s="187"/>
      <c r="Q162" s="321"/>
      <c r="AY162" s="187"/>
      <c r="BF162" s="336"/>
      <c r="BU162" s="336"/>
    </row>
    <row r="163" spans="1:73">
      <c r="N163" s="187"/>
      <c r="Q163" s="321"/>
      <c r="AY163" s="187"/>
      <c r="BF163" s="336"/>
      <c r="BU163" s="336"/>
    </row>
    <row r="164" spans="1:73">
      <c r="N164" s="187"/>
      <c r="Q164" s="321"/>
      <c r="AY164" s="187"/>
      <c r="BF164" s="336"/>
      <c r="BU164" s="336"/>
    </row>
    <row r="165" spans="1:73">
      <c r="N165" s="187"/>
      <c r="Q165" s="321"/>
      <c r="AY165" s="187"/>
      <c r="BF165" s="336"/>
      <c r="BU165" s="336"/>
    </row>
    <row r="166" spans="1:73">
      <c r="N166" s="187"/>
      <c r="Q166" s="321"/>
      <c r="AY166" s="187"/>
      <c r="BF166" s="336"/>
      <c r="BU166" s="336"/>
    </row>
    <row r="167" spans="1:73">
      <c r="N167" s="187"/>
      <c r="Q167" s="321"/>
      <c r="AY167" s="187"/>
      <c r="BF167" s="336"/>
      <c r="BU167" s="336"/>
    </row>
    <row r="168" spans="1:73">
      <c r="A168" s="185"/>
      <c r="N168" s="187"/>
      <c r="Q168" s="321"/>
      <c r="AY168" s="187"/>
      <c r="BF168" s="336"/>
      <c r="BU168" s="336"/>
    </row>
    <row r="169" spans="1:73">
      <c r="A169" s="185"/>
      <c r="N169" s="187"/>
      <c r="Q169" s="321"/>
      <c r="AY169" s="187"/>
      <c r="BF169" s="336"/>
      <c r="BU169" s="336"/>
    </row>
    <row r="170" spans="1:73">
      <c r="A170" s="185"/>
      <c r="B170" s="185"/>
      <c r="N170" s="187"/>
      <c r="Q170" s="321"/>
      <c r="AY170" s="187"/>
      <c r="BF170" s="336"/>
      <c r="BU170" s="336"/>
    </row>
    <row r="171" spans="1:73">
      <c r="B171" s="185"/>
      <c r="N171" s="187"/>
      <c r="Q171" s="321"/>
      <c r="AY171" s="187"/>
      <c r="BF171" s="336"/>
      <c r="BU171" s="336"/>
    </row>
    <row r="172" spans="1:73">
      <c r="A172" s="185"/>
      <c r="B172" s="185"/>
      <c r="N172" s="187"/>
      <c r="Q172" s="321"/>
      <c r="AY172" s="187"/>
      <c r="BF172" s="336"/>
      <c r="BU172" s="336"/>
    </row>
    <row r="173" spans="1:73">
      <c r="AY173" s="187"/>
      <c r="BB173" s="336"/>
    </row>
    <row r="174" spans="1:73">
      <c r="AY174" s="187"/>
      <c r="BB174" s="336"/>
    </row>
    <row r="175" spans="1:73">
      <c r="AY175" s="187"/>
      <c r="BB175" s="336"/>
    </row>
    <row r="176" spans="1:73">
      <c r="AY176" s="187"/>
      <c r="BB176" s="336"/>
    </row>
    <row r="177" spans="51:54">
      <c r="AY177" s="187"/>
      <c r="BB177" s="336"/>
    </row>
    <row r="178" spans="51:54">
      <c r="AY178" s="187"/>
      <c r="BB178" s="336"/>
    </row>
    <row r="179" spans="51:54">
      <c r="AY179" s="187"/>
      <c r="BB179" s="336"/>
    </row>
    <row r="180" spans="51:54">
      <c r="AY180" s="187"/>
      <c r="BB180" s="336"/>
    </row>
    <row r="181" spans="51:54">
      <c r="AY181" s="187"/>
      <c r="BB181" s="336"/>
    </row>
    <row r="182" spans="51:54">
      <c r="AY182" s="187"/>
      <c r="BB182" s="336"/>
    </row>
    <row r="183" spans="51:54">
      <c r="AY183" s="187"/>
      <c r="BB183" s="336"/>
    </row>
    <row r="184" spans="51:54">
      <c r="AY184" s="187"/>
      <c r="BB184" s="336"/>
    </row>
    <row r="185" spans="51:54">
      <c r="AY185" s="187"/>
      <c r="BB185" s="336"/>
    </row>
    <row r="186" spans="51:54">
      <c r="AY186" s="187"/>
      <c r="BB186" s="336"/>
    </row>
    <row r="187" spans="51:54">
      <c r="AY187" s="187"/>
      <c r="BB187" s="336"/>
    </row>
    <row r="188" spans="51:54">
      <c r="AY188" s="187"/>
      <c r="BB188" s="336"/>
    </row>
    <row r="189" spans="51:54">
      <c r="AY189" s="187"/>
      <c r="BB189" s="336"/>
    </row>
    <row r="190" spans="51:54">
      <c r="AY190" s="187"/>
      <c r="BB190" s="336"/>
    </row>
    <row r="191" spans="51:54">
      <c r="AY191" s="187"/>
      <c r="BB191" s="336"/>
    </row>
    <row r="192" spans="51:54">
      <c r="AY192" s="187"/>
      <c r="BB192" s="336"/>
    </row>
    <row r="193" spans="51:54">
      <c r="AY193" s="187"/>
      <c r="BB193" s="336"/>
    </row>
    <row r="194" spans="51:54">
      <c r="AY194" s="187"/>
      <c r="BB194" s="336"/>
    </row>
    <row r="195" spans="51:54">
      <c r="AY195" s="187"/>
      <c r="BB195" s="336"/>
    </row>
    <row r="196" spans="51:54">
      <c r="AY196" s="187"/>
      <c r="BB196" s="336"/>
    </row>
    <row r="197" spans="51:54">
      <c r="AY197" s="187"/>
      <c r="BB197" s="336"/>
    </row>
    <row r="198" spans="51:54">
      <c r="AY198" s="187"/>
      <c r="BB198" s="336"/>
    </row>
    <row r="199" spans="51:54">
      <c r="AY199" s="187"/>
      <c r="BB199" s="336"/>
    </row>
    <row r="200" spans="51:54">
      <c r="AY200" s="187"/>
      <c r="BB200" s="336"/>
    </row>
    <row r="201" spans="51:54">
      <c r="AY201" s="187"/>
      <c r="BB201" s="336"/>
    </row>
    <row r="202" spans="51:54">
      <c r="AY202" s="187"/>
      <c r="BB202" s="336"/>
    </row>
    <row r="203" spans="51:54">
      <c r="AY203" s="187"/>
      <c r="BB203" s="336"/>
    </row>
    <row r="204" spans="51:54">
      <c r="AY204" s="187"/>
      <c r="BB204" s="336"/>
    </row>
    <row r="205" spans="51:54">
      <c r="AY205" s="187"/>
      <c r="BB205" s="336"/>
    </row>
    <row r="206" spans="51:54">
      <c r="AY206" s="187"/>
      <c r="BB206" s="336"/>
    </row>
    <row r="207" spans="51:54">
      <c r="AY207" s="187"/>
      <c r="BB207" s="336"/>
    </row>
    <row r="208" spans="51:54">
      <c r="AY208" s="187"/>
      <c r="BB208" s="336"/>
    </row>
    <row r="209" spans="51:54">
      <c r="AY209" s="187"/>
      <c r="BB209" s="336"/>
    </row>
    <row r="210" spans="51:54">
      <c r="AY210" s="187"/>
      <c r="BB210" s="336"/>
    </row>
    <row r="211" spans="51:54">
      <c r="AY211" s="187"/>
      <c r="BB211" s="336"/>
    </row>
    <row r="212" spans="51:54">
      <c r="AY212" s="187"/>
      <c r="BB212" s="336"/>
    </row>
    <row r="213" spans="51:54">
      <c r="AY213" s="187"/>
      <c r="BB213" s="336"/>
    </row>
    <row r="214" spans="51:54">
      <c r="AY214" s="187"/>
      <c r="BB214" s="336"/>
    </row>
  </sheetData>
  <printOptions horizontalCentered="1" gridLinesSet="0"/>
  <pageMargins left="0.25" right="0.25" top="0.7" bottom="0.37" header="0.5" footer="0.5"/>
  <pageSetup scale="83" orientation="landscape" r:id="rId1"/>
  <headerFooter alignWithMargins="0">
    <oddFooter>&amp;C&amp;P</oddFooter>
  </headerFooter>
  <colBreaks count="5" manualBreakCount="5">
    <brk id="9" max="51" man="1"/>
    <brk id="28" max="51" man="1"/>
    <brk id="40" max="51" man="1"/>
    <brk id="57" max="51" man="1"/>
    <brk id="72" max="51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214"/>
  <sheetViews>
    <sheetView showGridLines="0" topLeftCell="BD1" zoomScaleNormal="100" workbookViewId="0">
      <selection activeCell="CK45" sqref="CK45"/>
    </sheetView>
  </sheetViews>
  <sheetFormatPr defaultColWidth="10.6640625" defaultRowHeight="13.2"/>
  <cols>
    <col min="1" max="1" width="29.33203125" style="187" customWidth="1"/>
    <col min="2" max="2" width="11.109375" style="187" customWidth="1"/>
    <col min="3" max="3" width="13" style="187" customWidth="1"/>
    <col min="4" max="4" width="4.6640625" style="187" customWidth="1"/>
    <col min="5" max="5" width="44.88671875" style="187" customWidth="1"/>
    <col min="6" max="6" width="10.6640625" style="187" bestFit="1" customWidth="1"/>
    <col min="7" max="8" width="11.6640625" style="187" bestFit="1" customWidth="1"/>
    <col min="9" max="9" width="3.6640625" style="187" customWidth="1"/>
    <col min="10" max="10" width="2.88671875" style="187" customWidth="1"/>
    <col min="11" max="11" width="4" style="187" customWidth="1"/>
    <col min="12" max="12" width="10.33203125" style="187" customWidth="1"/>
    <col min="13" max="13" width="9" style="187" customWidth="1"/>
    <col min="14" max="14" width="10.44140625" style="321" bestFit="1" customWidth="1"/>
    <col min="15" max="15" width="10.44140625" style="187" bestFit="1" customWidth="1"/>
    <col min="16" max="17" width="7.6640625" style="187" bestFit="1" customWidth="1"/>
    <col min="18" max="18" width="7.44140625" style="187" bestFit="1" customWidth="1"/>
    <col min="19" max="19" width="9.33203125" style="187" bestFit="1" customWidth="1"/>
    <col min="20" max="20" width="7.88671875" style="187" bestFit="1" customWidth="1"/>
    <col min="21" max="21" width="9.109375" style="187" bestFit="1" customWidth="1"/>
    <col min="22" max="22" width="10.6640625" style="187" bestFit="1" customWidth="1"/>
    <col min="23" max="23" width="10.33203125" style="187" bestFit="1" customWidth="1"/>
    <col min="24" max="24" width="8.88671875" style="187" customWidth="1"/>
    <col min="25" max="25" width="8" style="187" bestFit="1" customWidth="1"/>
    <col min="26" max="26" width="8.109375" style="187" bestFit="1" customWidth="1"/>
    <col min="27" max="28" width="9.109375" style="187" bestFit="1" customWidth="1"/>
    <col min="29" max="29" width="3.5546875" style="187" customWidth="1"/>
    <col min="30" max="30" width="2.88671875" style="187" customWidth="1"/>
    <col min="31" max="31" width="7.88671875" style="187" customWidth="1"/>
    <col min="32" max="32" width="12.6640625" style="187" customWidth="1"/>
    <col min="33" max="33" width="10.109375" style="187" customWidth="1"/>
    <col min="34" max="34" width="10.6640625" style="187" bestFit="1" customWidth="1"/>
    <col min="35" max="35" width="2.6640625" style="187" customWidth="1"/>
    <col min="36" max="36" width="8" style="187" bestFit="1" customWidth="1"/>
    <col min="37" max="37" width="8.109375" style="187" bestFit="1" customWidth="1"/>
    <col min="38" max="38" width="9.109375" style="187" bestFit="1" customWidth="1"/>
    <col min="39" max="39" width="2.6640625" style="187" customWidth="1"/>
    <col min="40" max="40" width="9.109375" style="187" bestFit="1" customWidth="1"/>
    <col min="41" max="41" width="3.88671875" style="187" customWidth="1"/>
    <col min="42" max="42" width="3.33203125" style="187" customWidth="1"/>
    <col min="43" max="43" width="7.88671875" style="187" customWidth="1"/>
    <col min="44" max="44" width="8.44140625" style="187" bestFit="1" customWidth="1"/>
    <col min="45" max="45" width="10.6640625" style="187" bestFit="1" customWidth="1"/>
    <col min="46" max="47" width="8.33203125" style="187" bestFit="1" customWidth="1"/>
    <col min="48" max="49" width="12.5546875" style="187" bestFit="1" customWidth="1"/>
    <col min="50" max="50" width="11.109375" style="187" hidden="1" customWidth="1"/>
    <col min="51" max="51" width="2.6640625" style="187" hidden="1" customWidth="1"/>
    <col min="52" max="52" width="11.5546875" style="336" customWidth="1"/>
    <col min="53" max="53" width="2.6640625" style="187" customWidth="1"/>
    <col min="54" max="54" width="8.109375" style="187" bestFit="1" customWidth="1"/>
    <col min="55" max="55" width="11.109375" style="187" bestFit="1" customWidth="1"/>
    <col min="56" max="56" width="9.109375" style="187" bestFit="1" customWidth="1"/>
    <col min="57" max="57" width="10.6640625" style="187" bestFit="1" customWidth="1"/>
    <col min="58" max="58" width="3.6640625" style="187" customWidth="1"/>
    <col min="59" max="59" width="2.88671875" style="187" customWidth="1"/>
    <col min="60" max="60" width="9.88671875" style="187" customWidth="1"/>
    <col min="61" max="61" width="9.88671875" style="187" bestFit="1" customWidth="1"/>
    <col min="62" max="62" width="9.33203125" style="187" bestFit="1" customWidth="1"/>
    <col min="63" max="64" width="8.109375" style="187" bestFit="1" customWidth="1"/>
    <col min="65" max="65" width="10.109375" style="187" bestFit="1" customWidth="1"/>
    <col min="66" max="66" width="8.33203125" style="187" bestFit="1" customWidth="1"/>
    <col min="67" max="67" width="10.88671875" style="187" hidden="1" customWidth="1"/>
    <col min="68" max="68" width="10.6640625" style="187" bestFit="1" customWidth="1"/>
    <col min="69" max="69" width="2.6640625" style="187" customWidth="1"/>
    <col min="70" max="70" width="9.88671875" style="187" bestFit="1" customWidth="1"/>
    <col min="71" max="71" width="2.6640625" style="187" customWidth="1"/>
    <col min="72" max="72" width="10.6640625" style="187" bestFit="1" customWidth="1"/>
    <col min="73" max="73" width="3.6640625" style="187" customWidth="1"/>
    <col min="74" max="74" width="3.5546875" style="187" customWidth="1"/>
    <col min="75" max="75" width="7.33203125" style="187" customWidth="1"/>
    <col min="76" max="76" width="9.88671875" style="187" bestFit="1" customWidth="1"/>
    <col min="77" max="77" width="10.6640625" style="187" bestFit="1" customWidth="1"/>
    <col min="78" max="78" width="8.33203125" style="187" bestFit="1" customWidth="1"/>
    <col min="79" max="79" width="10.6640625" style="187" bestFit="1" customWidth="1"/>
    <col min="80" max="80" width="2.6640625" style="187" customWidth="1"/>
    <col min="81" max="81" width="8.109375" style="187" bestFit="1" customWidth="1"/>
    <col min="82" max="82" width="11.109375" style="187" bestFit="1" customWidth="1"/>
    <col min="83" max="83" width="10" style="187" customWidth="1"/>
    <col min="84" max="84" width="2.6640625" style="187" customWidth="1"/>
    <col min="85" max="85" width="10.6640625" style="187" bestFit="1" customWidth="1"/>
    <col min="86" max="86" width="8.6640625" style="187" customWidth="1"/>
    <col min="87" max="88" width="10.6640625" style="187" customWidth="1"/>
    <col min="89" max="89" width="1.6640625" style="187" customWidth="1"/>
    <col min="90" max="93" width="8.6640625" style="187" customWidth="1"/>
    <col min="94" max="94" width="1.6640625" style="187" customWidth="1"/>
    <col min="95" max="95" width="9.6640625" style="187" customWidth="1"/>
    <col min="96" max="96" width="2.6640625" style="187" customWidth="1"/>
    <col min="97" max="97" width="10.6640625" style="187" customWidth="1"/>
    <col min="98" max="98" width="8.6640625" style="187" customWidth="1"/>
    <col min="99" max="99" width="9.6640625" style="187" customWidth="1"/>
    <col min="100" max="246" width="8.6640625" style="187" customWidth="1"/>
    <col min="247" max="16384" width="10.6640625" style="187"/>
  </cols>
  <sheetData>
    <row r="1" spans="1:106">
      <c r="A1" s="55" t="s">
        <v>109</v>
      </c>
      <c r="B1" s="55"/>
      <c r="C1" s="56"/>
      <c r="D1" s="55"/>
      <c r="E1" s="56"/>
      <c r="F1" s="55"/>
      <c r="G1" s="55"/>
      <c r="H1" s="332"/>
      <c r="K1" s="1" t="s">
        <v>1</v>
      </c>
      <c r="M1" s="333"/>
      <c r="N1" s="187"/>
      <c r="R1" s="321"/>
      <c r="T1" s="185"/>
      <c r="U1" s="185"/>
      <c r="AD1" s="1" t="s">
        <v>2</v>
      </c>
      <c r="AF1" s="333"/>
      <c r="AG1" s="185"/>
      <c r="AP1" s="1" t="s">
        <v>3</v>
      </c>
      <c r="AR1" s="333"/>
      <c r="AZ1" s="187"/>
      <c r="BC1" s="334"/>
      <c r="BG1" s="1" t="s">
        <v>4</v>
      </c>
      <c r="BJ1" s="185"/>
      <c r="BV1" s="1" t="s">
        <v>215</v>
      </c>
      <c r="BY1" s="185"/>
    </row>
    <row r="2" spans="1:106">
      <c r="A2" s="56" t="s">
        <v>108</v>
      </c>
      <c r="B2" s="55"/>
      <c r="C2" s="55"/>
      <c r="D2" s="55"/>
      <c r="E2" s="55"/>
      <c r="F2" s="55"/>
      <c r="G2" s="55"/>
      <c r="H2" s="332"/>
      <c r="K2" s="1" t="s">
        <v>5</v>
      </c>
      <c r="N2" s="187"/>
      <c r="R2" s="321"/>
      <c r="T2" s="185"/>
      <c r="U2" s="185"/>
      <c r="AD2" s="1" t="s">
        <v>6</v>
      </c>
      <c r="AG2" s="185"/>
      <c r="AP2" s="1" t="s">
        <v>7</v>
      </c>
      <c r="AZ2" s="187"/>
      <c r="BC2" s="334"/>
      <c r="BD2" s="334"/>
      <c r="BG2" s="1" t="s">
        <v>8</v>
      </c>
      <c r="BJ2" s="185"/>
      <c r="BO2" s="185"/>
      <c r="BV2" s="1" t="s">
        <v>216</v>
      </c>
      <c r="BY2" s="185"/>
    </row>
    <row r="3" spans="1:106">
      <c r="B3" s="335"/>
      <c r="C3" s="335"/>
      <c r="N3" s="187"/>
      <c r="R3" s="321"/>
      <c r="AZ3" s="187"/>
      <c r="BD3" s="334"/>
      <c r="BG3" s="336"/>
      <c r="BO3" s="185"/>
      <c r="BV3" s="336"/>
    </row>
    <row r="4" spans="1:106">
      <c r="A4" s="337" t="s">
        <v>9</v>
      </c>
      <c r="B4" s="7" t="s">
        <v>94</v>
      </c>
      <c r="K4" s="185" t="s">
        <v>9</v>
      </c>
      <c r="M4" s="10" t="str">
        <f>B4</f>
        <v>Montana-Dakota Utilities Co.</v>
      </c>
      <c r="N4" s="187"/>
      <c r="R4" s="321"/>
      <c r="S4" s="166"/>
      <c r="AD4" s="185" t="s">
        <v>9</v>
      </c>
      <c r="AF4" s="10" t="str">
        <f>B4</f>
        <v>Montana-Dakota Utilities Co.</v>
      </c>
      <c r="AP4" s="185" t="s">
        <v>11</v>
      </c>
      <c r="AR4" s="10" t="str">
        <f>AF4</f>
        <v>Montana-Dakota Utilities Co.</v>
      </c>
      <c r="AZ4" s="187"/>
      <c r="BH4" s="338" t="s">
        <v>11</v>
      </c>
      <c r="BI4" s="10" t="str">
        <f>AR4</f>
        <v>Montana-Dakota Utilities Co.</v>
      </c>
      <c r="BW4" s="338" t="s">
        <v>11</v>
      </c>
      <c r="BX4" s="10" t="str">
        <f>BI4</f>
        <v>Montana-Dakota Utilities Co.</v>
      </c>
    </row>
    <row r="5" spans="1:106">
      <c r="A5" s="337" t="s">
        <v>10</v>
      </c>
      <c r="B5" s="9" t="s">
        <v>266</v>
      </c>
      <c r="K5" s="185" t="s">
        <v>10</v>
      </c>
      <c r="M5" s="10" t="str">
        <f>$B$5</f>
        <v>Residential 95+% AFUE Furnace - Replacement</v>
      </c>
      <c r="N5" s="187"/>
      <c r="R5" s="321"/>
      <c r="AD5" s="185" t="s">
        <v>10</v>
      </c>
      <c r="AF5" s="10" t="str">
        <f>$B$5</f>
        <v>Residential 95+% AFUE Furnace - Replacement</v>
      </c>
      <c r="AP5" s="185" t="s">
        <v>12</v>
      </c>
      <c r="AR5" s="10" t="str">
        <f>$B$5</f>
        <v>Residential 95+% AFUE Furnace - Replacement</v>
      </c>
      <c r="AZ5" s="187"/>
      <c r="BH5" s="338" t="s">
        <v>12</v>
      </c>
      <c r="BI5" s="10" t="str">
        <f>$B$5</f>
        <v>Residential 95+% AFUE Furnace - Replacement</v>
      </c>
      <c r="BW5" s="338" t="s">
        <v>12</v>
      </c>
      <c r="BX5" s="10" t="str">
        <f>$B$5</f>
        <v>Residential 95+% AFUE Furnace - Replacement</v>
      </c>
    </row>
    <row r="6" spans="1:106">
      <c r="A6" s="337" t="s">
        <v>200</v>
      </c>
      <c r="B6" s="312" t="s">
        <v>346</v>
      </c>
      <c r="N6" s="187"/>
      <c r="R6" s="321"/>
      <c r="AZ6" s="187"/>
      <c r="BG6" s="336"/>
      <c r="BV6" s="336"/>
    </row>
    <row r="7" spans="1:106">
      <c r="M7" s="339"/>
      <c r="N7" s="47" t="s">
        <v>14</v>
      </c>
      <c r="O7" s="48"/>
      <c r="P7" s="48"/>
      <c r="Q7" s="48"/>
      <c r="R7" s="114"/>
      <c r="S7" s="48"/>
      <c r="T7" s="48"/>
      <c r="U7" s="48"/>
      <c r="V7" s="48"/>
      <c r="W7" s="339"/>
      <c r="X7" s="88" t="s">
        <v>15</v>
      </c>
      <c r="Y7" s="88"/>
      <c r="Z7" s="340"/>
      <c r="AA7" s="341"/>
      <c r="AB7" s="167"/>
      <c r="AC7" s="339"/>
      <c r="AD7" s="339"/>
      <c r="AE7" s="339"/>
      <c r="AF7" s="47" t="s">
        <v>14</v>
      </c>
      <c r="AG7" s="342"/>
      <c r="AH7" s="342"/>
      <c r="AI7" s="339"/>
      <c r="AJ7" s="88" t="s">
        <v>15</v>
      </c>
      <c r="AK7" s="88"/>
      <c r="AL7" s="88"/>
      <c r="AM7" s="339"/>
      <c r="AN7" s="343" t="s">
        <v>81</v>
      </c>
      <c r="AO7" s="339"/>
      <c r="AP7" s="339"/>
      <c r="AQ7" s="339"/>
      <c r="AR7" s="47" t="s">
        <v>14</v>
      </c>
      <c r="AS7" s="48"/>
      <c r="AT7" s="48"/>
      <c r="AU7" s="48"/>
      <c r="AV7" s="48"/>
      <c r="AW7" s="48"/>
      <c r="AX7" s="48"/>
      <c r="AY7" s="48"/>
      <c r="AZ7" s="48"/>
      <c r="BA7" s="339"/>
      <c r="BB7" s="88" t="s">
        <v>15</v>
      </c>
      <c r="BC7" s="88"/>
      <c r="BD7" s="89"/>
      <c r="BE7" s="75" t="s">
        <v>81</v>
      </c>
      <c r="BF7" s="339"/>
      <c r="BG7" s="198"/>
      <c r="BH7" s="339"/>
      <c r="BI7" s="47" t="s">
        <v>14</v>
      </c>
      <c r="BJ7" s="344"/>
      <c r="BK7" s="344"/>
      <c r="BL7" s="344"/>
      <c r="BM7" s="344"/>
      <c r="BN7" s="344"/>
      <c r="BO7" s="344"/>
      <c r="BP7" s="344"/>
      <c r="BQ7" s="339"/>
      <c r="BR7" s="126" t="s">
        <v>15</v>
      </c>
      <c r="BS7" s="125" t="s">
        <v>81</v>
      </c>
      <c r="BT7" s="339"/>
      <c r="BU7" s="339"/>
      <c r="BV7" s="198"/>
      <c r="BW7" s="339"/>
      <c r="BX7" s="47" t="s">
        <v>14</v>
      </c>
      <c r="BY7" s="344"/>
      <c r="BZ7" s="344"/>
      <c r="CA7" s="344"/>
      <c r="CB7" s="339"/>
      <c r="CC7" s="88" t="s">
        <v>15</v>
      </c>
      <c r="CD7" s="88"/>
      <c r="CE7" s="88"/>
      <c r="CF7" s="125" t="s">
        <v>81</v>
      </c>
      <c r="CG7" s="339"/>
    </row>
    <row r="8" spans="1:106">
      <c r="A8" s="345" t="s">
        <v>13</v>
      </c>
      <c r="B8" s="345"/>
      <c r="C8" s="346"/>
      <c r="E8" s="345"/>
      <c r="F8" s="184">
        <v>2015</v>
      </c>
      <c r="G8" s="167"/>
      <c r="H8" s="167"/>
      <c r="L8" s="339"/>
      <c r="M8" s="347"/>
      <c r="N8" s="347"/>
      <c r="O8" s="339"/>
      <c r="Q8" s="347"/>
      <c r="R8" s="348"/>
      <c r="S8" s="347"/>
      <c r="T8" s="347"/>
      <c r="U8" s="347"/>
      <c r="V8" s="347"/>
      <c r="W8" s="347"/>
      <c r="X8" s="347"/>
      <c r="Z8" s="347"/>
      <c r="AA8" s="167"/>
      <c r="AB8" s="167" t="s">
        <v>17</v>
      </c>
      <c r="AC8" s="339"/>
      <c r="AD8" s="339"/>
      <c r="AE8" s="339"/>
      <c r="AF8" s="347"/>
      <c r="AG8" s="347"/>
      <c r="AH8" s="347"/>
      <c r="AI8" s="339"/>
      <c r="AL8" s="339"/>
      <c r="AM8" s="347"/>
      <c r="AN8" s="167" t="s">
        <v>17</v>
      </c>
      <c r="AO8" s="339"/>
      <c r="AP8" s="339"/>
      <c r="AQ8" s="339"/>
      <c r="AR8" s="339"/>
      <c r="AS8" s="339"/>
      <c r="AT8" s="167" t="s">
        <v>24</v>
      </c>
      <c r="AU8" s="347"/>
      <c r="AV8" s="336"/>
      <c r="AW8" s="347"/>
      <c r="AX8" s="349"/>
      <c r="AY8" s="350"/>
      <c r="AZ8" s="347"/>
      <c r="BA8" s="347"/>
      <c r="BB8" s="347"/>
      <c r="BC8" s="347"/>
      <c r="BD8" s="347"/>
      <c r="BE8" s="167" t="s">
        <v>17</v>
      </c>
      <c r="BF8" s="339"/>
      <c r="BG8" s="198"/>
      <c r="BH8" s="167"/>
      <c r="BI8" s="167"/>
      <c r="BJ8" s="339"/>
      <c r="BK8" s="339"/>
      <c r="BL8" s="339"/>
      <c r="BN8" s="339"/>
      <c r="BO8" s="339"/>
      <c r="BP8" s="339"/>
      <c r="BQ8" s="339"/>
      <c r="BR8" s="339"/>
      <c r="BS8" s="339"/>
      <c r="BT8" s="167" t="s">
        <v>17</v>
      </c>
      <c r="BU8" s="339"/>
      <c r="BV8" s="198"/>
      <c r="BW8" s="167"/>
      <c r="BX8" s="167"/>
      <c r="BY8" s="339"/>
      <c r="BZ8" s="339"/>
      <c r="CA8" s="339"/>
      <c r="CB8" s="339"/>
      <c r="CC8" s="339"/>
      <c r="CD8" s="339"/>
      <c r="CE8" s="339"/>
      <c r="CF8" s="339"/>
      <c r="CG8" s="167" t="s">
        <v>17</v>
      </c>
      <c r="DA8" s="351"/>
      <c r="DB8" s="351"/>
    </row>
    <row r="9" spans="1:106">
      <c r="A9" s="185"/>
      <c r="E9" s="185"/>
      <c r="G9" s="339"/>
      <c r="H9" s="339"/>
      <c r="L9" s="339"/>
      <c r="M9" s="167" t="s">
        <v>20</v>
      </c>
      <c r="N9" s="167" t="s">
        <v>23</v>
      </c>
      <c r="O9" s="198" t="s">
        <v>23</v>
      </c>
      <c r="P9" s="352" t="s">
        <v>21</v>
      </c>
      <c r="Q9" s="352" t="s">
        <v>21</v>
      </c>
      <c r="R9" s="353" t="s">
        <v>20</v>
      </c>
      <c r="S9" s="354" t="s">
        <v>97</v>
      </c>
      <c r="T9" s="167" t="s">
        <v>31</v>
      </c>
      <c r="U9" s="353" t="s">
        <v>20</v>
      </c>
      <c r="V9" s="167"/>
      <c r="W9" s="354" t="s">
        <v>96</v>
      </c>
      <c r="X9" s="339"/>
      <c r="Y9" s="336" t="s">
        <v>35</v>
      </c>
      <c r="Z9" s="167"/>
      <c r="AA9" s="167" t="s">
        <v>20</v>
      </c>
      <c r="AB9" s="167" t="s">
        <v>14</v>
      </c>
      <c r="AC9" s="339"/>
      <c r="AD9" s="339"/>
      <c r="AE9" s="339"/>
      <c r="AF9" s="354" t="s">
        <v>20</v>
      </c>
      <c r="AG9" s="353" t="s">
        <v>20</v>
      </c>
      <c r="AH9" s="354" t="s">
        <v>17</v>
      </c>
      <c r="AI9" s="339"/>
      <c r="AJ9" s="336" t="s">
        <v>35</v>
      </c>
      <c r="AK9" s="167"/>
      <c r="AL9" s="167" t="s">
        <v>22</v>
      </c>
      <c r="AM9" s="339"/>
      <c r="AN9" s="167" t="s">
        <v>14</v>
      </c>
      <c r="AO9" s="339"/>
      <c r="AP9" s="339"/>
      <c r="AQ9" s="339"/>
      <c r="AR9" s="354" t="s">
        <v>20</v>
      </c>
      <c r="AS9" s="167" t="s">
        <v>20</v>
      </c>
      <c r="AT9" s="167" t="s">
        <v>36</v>
      </c>
      <c r="AU9" s="167" t="s">
        <v>24</v>
      </c>
      <c r="AV9" s="352" t="s">
        <v>37</v>
      </c>
      <c r="AW9" s="352" t="s">
        <v>37</v>
      </c>
      <c r="AX9" s="349"/>
      <c r="AY9" s="355"/>
      <c r="AZ9" s="167" t="s">
        <v>17</v>
      </c>
      <c r="BA9" s="339"/>
      <c r="BB9" s="167" t="s">
        <v>22</v>
      </c>
      <c r="BC9" s="167" t="s">
        <v>39</v>
      </c>
      <c r="BD9" s="198" t="s">
        <v>17</v>
      </c>
      <c r="BE9" s="167" t="s">
        <v>14</v>
      </c>
      <c r="BF9" s="339"/>
      <c r="BG9" s="198"/>
      <c r="BH9" s="167"/>
      <c r="BI9" s="167"/>
      <c r="BJ9" s="167" t="s">
        <v>20</v>
      </c>
      <c r="BK9" s="339"/>
      <c r="BL9" s="167" t="s">
        <v>23</v>
      </c>
      <c r="BM9" s="336" t="s">
        <v>24</v>
      </c>
      <c r="BN9" s="198" t="s">
        <v>24</v>
      </c>
      <c r="BO9" s="198"/>
      <c r="BP9" s="167" t="s">
        <v>20</v>
      </c>
      <c r="BQ9" s="339"/>
      <c r="BR9" s="167" t="s">
        <v>26</v>
      </c>
      <c r="BS9" s="198"/>
      <c r="BT9" s="167" t="s">
        <v>14</v>
      </c>
      <c r="BU9" s="339"/>
      <c r="BV9" s="198"/>
      <c r="BW9" s="167"/>
      <c r="BX9" s="167" t="s">
        <v>20</v>
      </c>
      <c r="BY9" s="167" t="s">
        <v>20</v>
      </c>
      <c r="BZ9" s="167" t="s">
        <v>24</v>
      </c>
      <c r="CA9" s="167" t="s">
        <v>20</v>
      </c>
      <c r="CB9" s="339"/>
      <c r="CC9" s="167" t="s">
        <v>22</v>
      </c>
      <c r="CD9" s="167" t="s">
        <v>39</v>
      </c>
      <c r="CE9" s="167"/>
      <c r="CF9" s="198"/>
      <c r="CG9" s="167" t="s">
        <v>14</v>
      </c>
    </row>
    <row r="10" spans="1:106">
      <c r="A10" s="185" t="s">
        <v>104</v>
      </c>
      <c r="C10" s="356">
        <f>+'Gas Input Table Summary'!$D$7</f>
        <v>5.9719999999999995</v>
      </c>
      <c r="D10" s="357"/>
      <c r="E10" s="185" t="s">
        <v>16</v>
      </c>
      <c r="G10" s="339"/>
      <c r="H10" s="339"/>
      <c r="J10" s="358"/>
      <c r="L10" s="339"/>
      <c r="M10" s="167" t="s">
        <v>28</v>
      </c>
      <c r="N10" s="167" t="s">
        <v>29</v>
      </c>
      <c r="O10" s="198" t="s">
        <v>29</v>
      </c>
      <c r="P10" s="352" t="s">
        <v>30</v>
      </c>
      <c r="Q10" s="352" t="s">
        <v>30</v>
      </c>
      <c r="R10" s="353" t="s">
        <v>36</v>
      </c>
      <c r="S10" s="167" t="s">
        <v>31</v>
      </c>
      <c r="T10" s="167" t="s">
        <v>38</v>
      </c>
      <c r="U10" s="353" t="s">
        <v>31</v>
      </c>
      <c r="V10" s="167" t="s">
        <v>20</v>
      </c>
      <c r="W10" s="167" t="s">
        <v>118</v>
      </c>
      <c r="X10" s="167" t="s">
        <v>92</v>
      </c>
      <c r="Y10" s="336" t="s">
        <v>144</v>
      </c>
      <c r="Z10" s="167" t="s">
        <v>117</v>
      </c>
      <c r="AA10" s="167" t="s">
        <v>35</v>
      </c>
      <c r="AB10" s="167" t="s">
        <v>34</v>
      </c>
      <c r="AC10" s="339"/>
      <c r="AD10" s="339"/>
      <c r="AE10" s="339"/>
      <c r="AF10" s="354" t="s">
        <v>36</v>
      </c>
      <c r="AG10" s="353" t="s">
        <v>31</v>
      </c>
      <c r="AH10" s="354" t="s">
        <v>20</v>
      </c>
      <c r="AI10" s="339"/>
      <c r="AJ10" s="336" t="s">
        <v>144</v>
      </c>
      <c r="AK10" s="167" t="s">
        <v>117</v>
      </c>
      <c r="AL10" s="167" t="s">
        <v>35</v>
      </c>
      <c r="AM10" s="339"/>
      <c r="AN10" s="167" t="s">
        <v>34</v>
      </c>
      <c r="AO10" s="339"/>
      <c r="AP10" s="339"/>
      <c r="AQ10" s="339"/>
      <c r="AR10" s="167" t="s">
        <v>28</v>
      </c>
      <c r="AS10" s="167" t="s">
        <v>131</v>
      </c>
      <c r="AT10" s="167" t="s">
        <v>38</v>
      </c>
      <c r="AU10" s="167" t="s">
        <v>36</v>
      </c>
      <c r="AV10" s="198" t="s">
        <v>99</v>
      </c>
      <c r="AW10" s="359" t="s">
        <v>99</v>
      </c>
      <c r="AX10" s="349"/>
      <c r="AY10" s="360"/>
      <c r="AZ10" s="167" t="s">
        <v>20</v>
      </c>
      <c r="BA10" s="339"/>
      <c r="BB10" s="167" t="s">
        <v>35</v>
      </c>
      <c r="BC10" s="354" t="s">
        <v>100</v>
      </c>
      <c r="BD10" s="198" t="s">
        <v>20</v>
      </c>
      <c r="BE10" s="167" t="s">
        <v>34</v>
      </c>
      <c r="BF10" s="339"/>
      <c r="BG10" s="198"/>
      <c r="BH10" s="167"/>
      <c r="BI10" s="167" t="s">
        <v>25</v>
      </c>
      <c r="BJ10" s="167" t="s">
        <v>28</v>
      </c>
      <c r="BK10" s="167" t="s">
        <v>32</v>
      </c>
      <c r="BL10" s="167" t="s">
        <v>33</v>
      </c>
      <c r="BM10" s="336" t="s">
        <v>136</v>
      </c>
      <c r="BN10" s="167" t="s">
        <v>36</v>
      </c>
      <c r="BO10" s="167"/>
      <c r="BP10" s="167" t="s">
        <v>17</v>
      </c>
      <c r="BQ10" s="339"/>
      <c r="BR10" s="167" t="s">
        <v>112</v>
      </c>
      <c r="BS10" s="167"/>
      <c r="BT10" s="167" t="s">
        <v>34</v>
      </c>
      <c r="BU10" s="339"/>
      <c r="BV10" s="198"/>
      <c r="BW10" s="167"/>
      <c r="BX10" s="167" t="s">
        <v>28</v>
      </c>
      <c r="BY10" s="167" t="s">
        <v>31</v>
      </c>
      <c r="BZ10" s="167" t="s">
        <v>36</v>
      </c>
      <c r="CA10" s="167" t="s">
        <v>17</v>
      </c>
      <c r="CB10" s="339"/>
      <c r="CC10" s="167" t="s">
        <v>35</v>
      </c>
      <c r="CD10" s="354" t="s">
        <v>100</v>
      </c>
      <c r="CE10" s="167" t="s">
        <v>20</v>
      </c>
      <c r="CF10" s="167"/>
      <c r="CG10" s="167" t="s">
        <v>34</v>
      </c>
    </row>
    <row r="11" spans="1:106">
      <c r="A11" s="185" t="s">
        <v>18</v>
      </c>
      <c r="C11" s="361">
        <f>+'Gas Input Table Summary'!$D$8</f>
        <v>3.5000000000000003E-2</v>
      </c>
      <c r="E11" s="185" t="s">
        <v>19</v>
      </c>
      <c r="F11" s="195">
        <f>+'Total Program Inputs'!K12</f>
        <v>4503</v>
      </c>
      <c r="G11" s="538"/>
      <c r="H11" s="538"/>
      <c r="J11" s="337" t="s">
        <v>42</v>
      </c>
      <c r="L11" s="339"/>
      <c r="M11" s="167" t="s">
        <v>44</v>
      </c>
      <c r="N11" s="198" t="s">
        <v>107</v>
      </c>
      <c r="O11" s="198" t="s">
        <v>38</v>
      </c>
      <c r="P11" s="352" t="s">
        <v>107</v>
      </c>
      <c r="Q11" s="352" t="s">
        <v>38</v>
      </c>
      <c r="R11" s="353" t="s">
        <v>38</v>
      </c>
      <c r="S11" s="167" t="s">
        <v>44</v>
      </c>
      <c r="T11" s="198" t="s">
        <v>95</v>
      </c>
      <c r="U11" s="353" t="s">
        <v>38</v>
      </c>
      <c r="V11" s="167" t="s">
        <v>38</v>
      </c>
      <c r="W11" s="167" t="s">
        <v>119</v>
      </c>
      <c r="X11" s="167" t="s">
        <v>93</v>
      </c>
      <c r="Y11" s="336" t="s">
        <v>15</v>
      </c>
      <c r="Z11" s="167" t="s">
        <v>15</v>
      </c>
      <c r="AA11" s="167" t="s">
        <v>15</v>
      </c>
      <c r="AB11" s="167" t="s">
        <v>15</v>
      </c>
      <c r="AC11" s="339"/>
      <c r="AD11" s="339"/>
      <c r="AF11" s="167" t="s">
        <v>38</v>
      </c>
      <c r="AG11" s="353" t="s">
        <v>38</v>
      </c>
      <c r="AH11" s="353" t="s">
        <v>38</v>
      </c>
      <c r="AI11" s="339"/>
      <c r="AJ11" s="336" t="s">
        <v>15</v>
      </c>
      <c r="AK11" s="167" t="s">
        <v>15</v>
      </c>
      <c r="AL11" s="167" t="s">
        <v>15</v>
      </c>
      <c r="AM11" s="339"/>
      <c r="AN11" s="167" t="s">
        <v>15</v>
      </c>
      <c r="AO11" s="339"/>
      <c r="AP11" s="339"/>
      <c r="AR11" s="167" t="s">
        <v>38</v>
      </c>
      <c r="AS11" s="167" t="s">
        <v>38</v>
      </c>
      <c r="AT11" s="336" t="s">
        <v>133</v>
      </c>
      <c r="AU11" s="167" t="s">
        <v>38</v>
      </c>
      <c r="AV11" s="362" t="s">
        <v>132</v>
      </c>
      <c r="AW11" s="362" t="s">
        <v>38</v>
      </c>
      <c r="AX11" s="349"/>
      <c r="AY11" s="360"/>
      <c r="AZ11" s="354" t="s">
        <v>38</v>
      </c>
      <c r="BA11" s="339"/>
      <c r="BB11" s="167" t="s">
        <v>15</v>
      </c>
      <c r="BC11" s="363" t="s">
        <v>101</v>
      </c>
      <c r="BD11" s="359" t="s">
        <v>15</v>
      </c>
      <c r="BE11" s="167" t="s">
        <v>15</v>
      </c>
      <c r="BF11" s="339"/>
      <c r="BH11" s="167"/>
      <c r="BI11" s="167" t="s">
        <v>46</v>
      </c>
      <c r="BJ11" s="167" t="s">
        <v>44</v>
      </c>
      <c r="BK11" s="167" t="s">
        <v>45</v>
      </c>
      <c r="BL11" s="167" t="s">
        <v>38</v>
      </c>
      <c r="BM11" s="336" t="s">
        <v>0</v>
      </c>
      <c r="BN11" s="167" t="s">
        <v>38</v>
      </c>
      <c r="BO11" s="167"/>
      <c r="BP11" s="167" t="s">
        <v>14</v>
      </c>
      <c r="BQ11" s="339"/>
      <c r="BR11" s="167" t="s">
        <v>15</v>
      </c>
      <c r="BS11" s="167"/>
      <c r="BT11" s="167" t="s">
        <v>15</v>
      </c>
      <c r="BU11" s="339"/>
      <c r="BW11" s="167"/>
      <c r="BX11" s="167" t="s">
        <v>38</v>
      </c>
      <c r="BY11" s="167" t="s">
        <v>38</v>
      </c>
      <c r="BZ11" s="167" t="s">
        <v>38</v>
      </c>
      <c r="CA11" s="167" t="s">
        <v>14</v>
      </c>
      <c r="CB11" s="339"/>
      <c r="CC11" s="167" t="s">
        <v>15</v>
      </c>
      <c r="CD11" s="363" t="s">
        <v>101</v>
      </c>
      <c r="CE11" s="167" t="s">
        <v>15</v>
      </c>
      <c r="CF11" s="167"/>
      <c r="CG11" s="167" t="s">
        <v>15</v>
      </c>
    </row>
    <row r="12" spans="1:106">
      <c r="A12" s="185"/>
      <c r="C12" s="361"/>
      <c r="E12" s="185" t="s">
        <v>27</v>
      </c>
      <c r="F12" s="320">
        <f>+'Total Program Inputs'!G12</f>
        <v>60600</v>
      </c>
      <c r="G12" s="540"/>
      <c r="H12" s="540"/>
      <c r="J12" s="333"/>
      <c r="L12" s="184" t="s">
        <v>43</v>
      </c>
      <c r="M12" s="170" t="s">
        <v>48</v>
      </c>
      <c r="N12" s="170" t="s">
        <v>49</v>
      </c>
      <c r="O12" s="170" t="s">
        <v>50</v>
      </c>
      <c r="P12" s="170" t="s">
        <v>51</v>
      </c>
      <c r="Q12" s="170" t="s">
        <v>52</v>
      </c>
      <c r="R12" s="170" t="s">
        <v>53</v>
      </c>
      <c r="S12" s="170" t="s">
        <v>54</v>
      </c>
      <c r="T12" s="170" t="s">
        <v>55</v>
      </c>
      <c r="U12" s="170" t="s">
        <v>56</v>
      </c>
      <c r="V12" s="170" t="s">
        <v>57</v>
      </c>
      <c r="W12" s="170" t="s">
        <v>58</v>
      </c>
      <c r="X12" s="170" t="s">
        <v>59</v>
      </c>
      <c r="Y12" s="170" t="s">
        <v>60</v>
      </c>
      <c r="Z12" s="170" t="s">
        <v>61</v>
      </c>
      <c r="AA12" s="170" t="s">
        <v>137</v>
      </c>
      <c r="AB12" s="170" t="s">
        <v>145</v>
      </c>
      <c r="AE12" s="184" t="s">
        <v>43</v>
      </c>
      <c r="AF12" s="170" t="s">
        <v>48</v>
      </c>
      <c r="AG12" s="170" t="s">
        <v>49</v>
      </c>
      <c r="AH12" s="170" t="s">
        <v>50</v>
      </c>
      <c r="AJ12" s="170" t="s">
        <v>51</v>
      </c>
      <c r="AK12" s="170" t="s">
        <v>52</v>
      </c>
      <c r="AL12" s="170" t="s">
        <v>53</v>
      </c>
      <c r="AN12" s="170" t="s">
        <v>54</v>
      </c>
      <c r="AQ12" s="184" t="s">
        <v>43</v>
      </c>
      <c r="AR12" s="170" t="s">
        <v>48</v>
      </c>
      <c r="AS12" s="170" t="s">
        <v>49</v>
      </c>
      <c r="AT12" s="170" t="s">
        <v>50</v>
      </c>
      <c r="AU12" s="170" t="s">
        <v>51</v>
      </c>
      <c r="AV12" s="170" t="s">
        <v>52</v>
      </c>
      <c r="AW12" s="170" t="s">
        <v>53</v>
      </c>
      <c r="AX12" s="364"/>
      <c r="AY12" s="364"/>
      <c r="AZ12" s="170" t="s">
        <v>54</v>
      </c>
      <c r="BA12" s="339"/>
      <c r="BB12" s="170" t="s">
        <v>55</v>
      </c>
      <c r="BC12" s="170" t="s">
        <v>56</v>
      </c>
      <c r="BD12" s="170" t="s">
        <v>57</v>
      </c>
      <c r="BE12" s="170" t="s">
        <v>58</v>
      </c>
      <c r="BH12" s="184" t="s">
        <v>43</v>
      </c>
      <c r="BI12" s="170" t="s">
        <v>48</v>
      </c>
      <c r="BJ12" s="170" t="s">
        <v>49</v>
      </c>
      <c r="BK12" s="170" t="s">
        <v>50</v>
      </c>
      <c r="BL12" s="170" t="s">
        <v>51</v>
      </c>
      <c r="BM12" s="170" t="s">
        <v>52</v>
      </c>
      <c r="BN12" s="170" t="s">
        <v>53</v>
      </c>
      <c r="BO12" s="170"/>
      <c r="BP12" s="170" t="s">
        <v>54</v>
      </c>
      <c r="BR12" s="170" t="s">
        <v>55</v>
      </c>
      <c r="BS12" s="198"/>
      <c r="BT12" s="170" t="s">
        <v>56</v>
      </c>
      <c r="BW12" s="184" t="s">
        <v>43</v>
      </c>
      <c r="BX12" s="170" t="s">
        <v>48</v>
      </c>
      <c r="BY12" s="170" t="s">
        <v>49</v>
      </c>
      <c r="BZ12" s="170" t="s">
        <v>50</v>
      </c>
      <c r="CA12" s="170" t="s">
        <v>51</v>
      </c>
      <c r="CC12" s="170" t="s">
        <v>52</v>
      </c>
      <c r="CD12" s="170" t="s">
        <v>53</v>
      </c>
      <c r="CE12" s="170" t="s">
        <v>54</v>
      </c>
      <c r="CF12" s="198"/>
      <c r="CG12" s="170" t="s">
        <v>55</v>
      </c>
    </row>
    <row r="13" spans="1:106">
      <c r="A13" s="185" t="s">
        <v>40</v>
      </c>
      <c r="C13" s="365">
        <f>+'Gas Input Table Summary'!$D$9</f>
        <v>0.14205999999999999</v>
      </c>
      <c r="E13" s="185" t="s">
        <v>41</v>
      </c>
      <c r="F13" s="357">
        <f>SUM(F11:F12)</f>
        <v>65103</v>
      </c>
      <c r="G13" s="374"/>
      <c r="H13" s="374"/>
      <c r="J13" s="366"/>
      <c r="L13" s="366"/>
      <c r="M13" s="366"/>
      <c r="N13" s="366"/>
      <c r="Q13" s="366"/>
      <c r="R13" s="321"/>
      <c r="S13" s="366"/>
      <c r="T13" s="366"/>
      <c r="V13" s="167"/>
      <c r="W13" s="366"/>
      <c r="X13" s="366"/>
      <c r="Z13" s="366"/>
      <c r="AA13" s="366"/>
      <c r="AB13" s="366"/>
      <c r="AE13" s="366"/>
      <c r="AF13" s="366"/>
      <c r="AH13" s="366"/>
      <c r="AL13" s="366"/>
      <c r="AN13" s="366"/>
      <c r="AQ13" s="366"/>
      <c r="AR13" s="366"/>
      <c r="AS13" s="366"/>
      <c r="AU13" s="366"/>
      <c r="AW13" s="334"/>
      <c r="AX13" s="274"/>
      <c r="AY13" s="367"/>
      <c r="AZ13" s="366"/>
      <c r="BB13" s="366"/>
      <c r="BC13" s="366"/>
      <c r="BD13" s="366"/>
      <c r="BE13" s="366"/>
      <c r="BH13" s="366"/>
      <c r="BI13" s="366"/>
      <c r="BJ13" s="366"/>
      <c r="BK13" s="366"/>
      <c r="BL13" s="366"/>
      <c r="BN13" s="366"/>
      <c r="BO13" s="366"/>
      <c r="BP13" s="366"/>
      <c r="BR13" s="366"/>
      <c r="BS13" s="366"/>
      <c r="BT13" s="366"/>
      <c r="BW13" s="366"/>
      <c r="BX13" s="366"/>
      <c r="BY13" s="366"/>
      <c r="BZ13" s="366"/>
      <c r="CA13" s="366"/>
      <c r="CC13" s="366"/>
      <c r="CD13" s="366"/>
      <c r="CE13" s="366"/>
      <c r="CF13" s="366"/>
      <c r="CG13" s="366"/>
    </row>
    <row r="14" spans="1:106">
      <c r="A14" s="185" t="s">
        <v>47</v>
      </c>
      <c r="C14" s="361">
        <f>+'Gas Input Table Summary'!$D$10</f>
        <v>3.5000000000000003E-2</v>
      </c>
      <c r="F14" s="368"/>
      <c r="G14" s="368"/>
      <c r="H14" s="368"/>
      <c r="J14" s="333">
        <f>$C$47-$C$45</f>
        <v>1</v>
      </c>
      <c r="L14" s="366">
        <f>$C$47</f>
        <v>2015</v>
      </c>
      <c r="M14" s="369">
        <f>ROUND(IF($C$47+$F$23&gt;L14,F25*F30,0),0)</f>
        <v>2559</v>
      </c>
      <c r="N14" s="370">
        <f>ROUND($C$17*(1),3)</f>
        <v>2.577</v>
      </c>
      <c r="O14" s="357">
        <f t="shared" ref="O14:O34" si="0">ROUND(M14*N14,0)</f>
        <v>6595</v>
      </c>
      <c r="P14" s="370">
        <f t="shared" ref="P14:P34" si="1">ROUND($C$25*(1+$C$26)^J14,3)</f>
        <v>0</v>
      </c>
      <c r="Q14" s="357">
        <f>ROUND(M14*P14,0)</f>
        <v>0</v>
      </c>
      <c r="R14" s="371">
        <f t="shared" ref="R14:R34" si="2">O14+Q14</f>
        <v>6595</v>
      </c>
      <c r="S14" s="372">
        <f t="shared" ref="S14:S34" si="3">ROUND(M14*$C$23,1)</f>
        <v>25.6</v>
      </c>
      <c r="T14" s="357">
        <f>ROUND($C$20*(1),0)</f>
        <v>142</v>
      </c>
      <c r="U14" s="373">
        <f>ROUND(S14*T14,0)</f>
        <v>3635</v>
      </c>
      <c r="V14" s="374">
        <f>ROUND(+U14+R14,0)</f>
        <v>10230</v>
      </c>
      <c r="W14" s="375">
        <f t="shared" ref="W14:W34" si="4">ROUND($H$36*(1+$C$11)^J14,3)</f>
        <v>1.8049999999999999</v>
      </c>
      <c r="X14" s="376">
        <f t="shared" ref="X14:X34" si="5">ROUND((1-$H$38)*(W14*M14),0)</f>
        <v>3002</v>
      </c>
      <c r="Y14" s="377">
        <f>ROUND($F$11,0)</f>
        <v>4503</v>
      </c>
      <c r="Z14" s="377">
        <f>ROUND($F$12,0)</f>
        <v>60600</v>
      </c>
      <c r="AA14" s="377">
        <f t="shared" ref="AA14:AA34" si="6">SUM(X14:Z14)</f>
        <v>68105</v>
      </c>
      <c r="AB14" s="357">
        <f t="shared" ref="AB14:AB34" si="7">V14-AA14</f>
        <v>-57875</v>
      </c>
      <c r="AE14" s="366">
        <f>$C$47</f>
        <v>2015</v>
      </c>
      <c r="AF14" s="357">
        <f t="shared" ref="AF14:AF34" si="8">+R14</f>
        <v>6595</v>
      </c>
      <c r="AG14" s="378">
        <f t="shared" ref="AG14:AG34" si="9">+U14</f>
        <v>3635</v>
      </c>
      <c r="AH14" s="377">
        <f>+AG14+AF14</f>
        <v>10230</v>
      </c>
      <c r="AJ14" s="378">
        <f>ROUND(Y14,0)</f>
        <v>4503</v>
      </c>
      <c r="AK14" s="378">
        <f>ROUND(Z14,0)</f>
        <v>60600</v>
      </c>
      <c r="AL14" s="357">
        <f t="shared" ref="AL14:AL34" si="10">SUM(AJ14:AK14)</f>
        <v>65103</v>
      </c>
      <c r="AN14" s="357">
        <f t="shared" ref="AN14:AN34" si="11">+AH14-AL14</f>
        <v>-54873</v>
      </c>
      <c r="AQ14" s="366">
        <f>$C$47</f>
        <v>2015</v>
      </c>
      <c r="AR14" s="357">
        <f t="shared" ref="AR14:AR34" si="12">AF14</f>
        <v>6595</v>
      </c>
      <c r="AS14" s="357">
        <f t="shared" ref="AS14:AS34" si="13">+AG14</f>
        <v>3635</v>
      </c>
      <c r="AT14" s="379">
        <f t="shared" ref="AT14:AT34" si="14">ROUND(($C$28/(1-$C$31))*(1+$C$29)^J14,3)</f>
        <v>2.4E-2</v>
      </c>
      <c r="AU14" s="380">
        <f>ROUND(IF($C$47+$F$23&gt;$AQ14,$F$30*$F$27,0)*AT14,0)</f>
        <v>3549</v>
      </c>
      <c r="AV14" s="370">
        <f t="shared" ref="AV14:AV34" si="15">ROUND($C$33*(1+$C$34)^J14,3)</f>
        <v>0.35799999999999998</v>
      </c>
      <c r="AW14" s="357">
        <f t="shared" ref="AW14:AW34" si="16">ROUND(AV14*M14,0)</f>
        <v>916</v>
      </c>
      <c r="AX14" s="379"/>
      <c r="AY14" s="380"/>
      <c r="AZ14" s="357">
        <f>ROUND(AR14+AS14+AU14+AW14+AY14,0)</f>
        <v>14695</v>
      </c>
      <c r="BA14" s="381"/>
      <c r="BB14" s="377">
        <f>ROUND($F$13,0)</f>
        <v>65103</v>
      </c>
      <c r="BC14" s="377">
        <f>ROUND((F15*F30)-Z14,0)</f>
        <v>70700</v>
      </c>
      <c r="BD14" s="382">
        <f>BB14+BC14</f>
        <v>135803</v>
      </c>
      <c r="BE14" s="377">
        <f t="shared" ref="BE14:BE34" si="17">AZ14-BD14</f>
        <v>-121108</v>
      </c>
      <c r="BH14" s="366">
        <f>$C$47</f>
        <v>2015</v>
      </c>
      <c r="BI14" s="357">
        <f>+F12</f>
        <v>60600</v>
      </c>
      <c r="BJ14" s="369">
        <f t="shared" ref="BJ14:BJ34" si="18">+M14</f>
        <v>2559</v>
      </c>
      <c r="BK14" s="383">
        <f t="shared" ref="BK14:BK34" si="19">ROUND($C$10*(1+$C$11)^J14,3)</f>
        <v>6.181</v>
      </c>
      <c r="BL14" s="357">
        <f>ROUND(BJ14*BK14,0)</f>
        <v>15817</v>
      </c>
      <c r="BM14" s="383">
        <f t="shared" ref="BM14:BM34" si="20">ROUND($C$13*(1+$C$14)^J14,3)</f>
        <v>0.14699999999999999</v>
      </c>
      <c r="BN14" s="380">
        <f>ROUND(IF($C$47+$F$23&gt;$BH14,$F$30*$F$27,0)*BM14,0)</f>
        <v>21736</v>
      </c>
      <c r="BO14" s="380"/>
      <c r="BP14" s="357">
        <f t="shared" ref="BP14:BP34" si="21">BI14+BL14+BN14+BO14</f>
        <v>98153</v>
      </c>
      <c r="BR14" s="357">
        <f>ROUND(F15*F30,0)</f>
        <v>131300</v>
      </c>
      <c r="BS14" s="357"/>
      <c r="BT14" s="357">
        <f>BP14-BR14</f>
        <v>-33147</v>
      </c>
      <c r="BW14" s="366">
        <f>$C$47</f>
        <v>2015</v>
      </c>
      <c r="BX14" s="357">
        <f t="shared" ref="BX14:BX34" si="22">$R14</f>
        <v>6595</v>
      </c>
      <c r="BY14" s="357">
        <f>U14</f>
        <v>3635</v>
      </c>
      <c r="BZ14" s="384">
        <f>AU14</f>
        <v>3549</v>
      </c>
      <c r="CA14" s="357">
        <f>SUM(BX14:BZ14)</f>
        <v>13779</v>
      </c>
      <c r="CC14" s="357">
        <f>BB14</f>
        <v>65103</v>
      </c>
      <c r="CD14" s="357">
        <f>BC14</f>
        <v>70700</v>
      </c>
      <c r="CE14" s="357">
        <f>SUM(CC14:CD14)</f>
        <v>135803</v>
      </c>
      <c r="CF14" s="357"/>
      <c r="CG14" s="357">
        <f>CA14-CE14</f>
        <v>-122024</v>
      </c>
    </row>
    <row r="15" spans="1:106">
      <c r="A15" s="185" t="s">
        <v>62</v>
      </c>
      <c r="C15" s="188" t="str">
        <f>+'Gas Input Table Summary'!$D$11</f>
        <v>Kwh</v>
      </c>
      <c r="E15" s="185" t="s">
        <v>63</v>
      </c>
      <c r="F15" s="385">
        <f>ROUND('Database Inputs'!K11,0)</f>
        <v>650</v>
      </c>
      <c r="G15" s="385"/>
      <c r="H15" s="385"/>
      <c r="J15" s="333">
        <f t="shared" ref="J15:J34" si="23">J14+1</f>
        <v>2</v>
      </c>
      <c r="L15" s="366">
        <f t="shared" ref="L15:L34" si="24">L14+1</f>
        <v>2016</v>
      </c>
      <c r="M15" s="386">
        <f>ROUND(IF($C$47+$F$23&gt;L15,$F$25*$F$30,0)+IF($C$48+$G$23&gt;L15,$G$25*$G$30,0),0)</f>
        <v>2559</v>
      </c>
      <c r="N15" s="387">
        <f>ROUND($C$17*(1+$C$18)^J14,3)</f>
        <v>2.6669999999999998</v>
      </c>
      <c r="O15" s="388">
        <f t="shared" si="0"/>
        <v>6825</v>
      </c>
      <c r="P15" s="387">
        <f t="shared" si="1"/>
        <v>0</v>
      </c>
      <c r="Q15" s="389">
        <f t="shared" ref="Q15:Q34" si="25">ROUND(M15*P15,0)</f>
        <v>0</v>
      </c>
      <c r="R15" s="390">
        <f t="shared" si="2"/>
        <v>6825</v>
      </c>
      <c r="S15" s="372">
        <f t="shared" si="3"/>
        <v>25.6</v>
      </c>
      <c r="T15" s="389">
        <f>ROUND($C$20*(1+$C$21)^J14,0)</f>
        <v>144</v>
      </c>
      <c r="U15" s="391">
        <f>ROUND(S15*T15,0)</f>
        <v>3686</v>
      </c>
      <c r="V15" s="386">
        <f t="shared" ref="V15:V34" si="26">ROUND(+U15+R15,0)</f>
        <v>10511</v>
      </c>
      <c r="W15" s="392">
        <f t="shared" si="4"/>
        <v>1.8680000000000001</v>
      </c>
      <c r="X15" s="393">
        <f t="shared" si="5"/>
        <v>3107</v>
      </c>
      <c r="Y15" s="393">
        <f>ROUND($G$11,0)</f>
        <v>0</v>
      </c>
      <c r="Z15" s="393">
        <f>ROUND($G$12,0)</f>
        <v>0</v>
      </c>
      <c r="AA15" s="389">
        <f t="shared" si="6"/>
        <v>3107</v>
      </c>
      <c r="AB15" s="393">
        <f t="shared" si="7"/>
        <v>7404</v>
      </c>
      <c r="AE15" s="366">
        <f t="shared" ref="AE15:AE34" si="27">AE14+1</f>
        <v>2016</v>
      </c>
      <c r="AF15" s="393">
        <f t="shared" si="8"/>
        <v>6825</v>
      </c>
      <c r="AG15" s="368">
        <f t="shared" si="9"/>
        <v>3686</v>
      </c>
      <c r="AH15" s="393">
        <f>+AG15+AF15</f>
        <v>10511</v>
      </c>
      <c r="AJ15" s="394">
        <f t="shared" ref="AJ15:AK34" si="28">ROUND(Y15,0)</f>
        <v>0</v>
      </c>
      <c r="AK15" s="394">
        <f t="shared" si="28"/>
        <v>0</v>
      </c>
      <c r="AL15" s="395">
        <f t="shared" si="10"/>
        <v>0</v>
      </c>
      <c r="AN15" s="396">
        <f t="shared" si="11"/>
        <v>10511</v>
      </c>
      <c r="AQ15" s="366">
        <f t="shared" ref="AQ15:AQ34" si="29">AQ14+1</f>
        <v>2016</v>
      </c>
      <c r="AR15" s="393">
        <f t="shared" si="12"/>
        <v>6825</v>
      </c>
      <c r="AS15" s="393">
        <f t="shared" si="13"/>
        <v>3686</v>
      </c>
      <c r="AT15" s="397">
        <f t="shared" si="14"/>
        <v>2.5000000000000001E-2</v>
      </c>
      <c r="AU15" s="398">
        <f>ROUND((IF($C$47+$F$23&gt;$AQ15,$F$27*$F$30,0)+IF($C$48+$G$23&gt;AQ15,$G$27*$G$30,0))*AT15,0)</f>
        <v>3697</v>
      </c>
      <c r="AV15" s="387">
        <f t="shared" si="15"/>
        <v>0.36599999999999999</v>
      </c>
      <c r="AW15" s="393">
        <f t="shared" si="16"/>
        <v>937</v>
      </c>
      <c r="AX15" s="397"/>
      <c r="AY15" s="399"/>
      <c r="AZ15" s="393">
        <f t="shared" ref="AZ15:AZ34" si="30">ROUND(AR15+AS15+AU15+AW15+AY15,0)</f>
        <v>15145</v>
      </c>
      <c r="BA15" s="381"/>
      <c r="BB15" s="393">
        <f>ROUND($G$13,0)</f>
        <v>0</v>
      </c>
      <c r="BC15" s="393">
        <f>ROUND(($G$15*$G$30)-$Z$15,0)</f>
        <v>0</v>
      </c>
      <c r="BD15" s="400">
        <f t="shared" ref="BD15:BD34" si="31">BB15+BC15</f>
        <v>0</v>
      </c>
      <c r="BE15" s="393">
        <f t="shared" si="17"/>
        <v>15145</v>
      </c>
      <c r="BH15" s="366">
        <f t="shared" ref="BH15:BH34" si="32">BH14+1</f>
        <v>2016</v>
      </c>
      <c r="BI15" s="393">
        <f>+G12</f>
        <v>0</v>
      </c>
      <c r="BJ15" s="369">
        <f t="shared" si="18"/>
        <v>2559</v>
      </c>
      <c r="BK15" s="401">
        <f t="shared" si="19"/>
        <v>6.3970000000000002</v>
      </c>
      <c r="BL15" s="393">
        <f>ROUND(BJ15*BK15,0)</f>
        <v>16370</v>
      </c>
      <c r="BM15" s="401">
        <f t="shared" si="20"/>
        <v>0.152</v>
      </c>
      <c r="BN15" s="398">
        <f>ROUND((IF($C$47+$F$23&gt;BH15,$F$27*$F$30,0)+IF($C$48+$G$23&gt;BH15,$G$27*$G$30,0))*BM15,0)</f>
        <v>22475</v>
      </c>
      <c r="BO15" s="402"/>
      <c r="BP15" s="393">
        <f t="shared" si="21"/>
        <v>38845</v>
      </c>
      <c r="BR15" s="393">
        <f>ROUND($G$15*$G$30,0)</f>
        <v>0</v>
      </c>
      <c r="BS15" s="393"/>
      <c r="BT15" s="393">
        <f t="shared" ref="BT15:BT34" si="33">BP15-BR15</f>
        <v>38845</v>
      </c>
      <c r="BW15" s="366">
        <f t="shared" ref="BW15:BW34" si="34">BW14+1</f>
        <v>2016</v>
      </c>
      <c r="BX15" s="393">
        <f t="shared" si="22"/>
        <v>6825</v>
      </c>
      <c r="BY15" s="369">
        <f t="shared" ref="BY15:BY34" si="35">U15</f>
        <v>3686</v>
      </c>
      <c r="BZ15" s="403">
        <f t="shared" ref="BZ15:BZ34" si="36">AU15</f>
        <v>3697</v>
      </c>
      <c r="CA15" s="393">
        <f t="shared" ref="CA15:CA34" si="37">SUM(BX15:BZ15)</f>
        <v>14208</v>
      </c>
      <c r="CC15" s="393">
        <f t="shared" ref="CC15:CD34" si="38">BB15</f>
        <v>0</v>
      </c>
      <c r="CD15" s="393">
        <f t="shared" si="38"/>
        <v>0</v>
      </c>
      <c r="CE15" s="393">
        <f t="shared" ref="CE15:CE34" si="39">SUM(CC15:CD15)</f>
        <v>0</v>
      </c>
      <c r="CF15" s="393"/>
      <c r="CG15" s="393">
        <f>CA15-CE15</f>
        <v>14208</v>
      </c>
    </row>
    <row r="16" spans="1:106">
      <c r="F16" s="369"/>
      <c r="G16" s="369"/>
      <c r="H16" s="369"/>
      <c r="J16" s="333">
        <f t="shared" si="23"/>
        <v>3</v>
      </c>
      <c r="L16" s="366">
        <f t="shared" si="24"/>
        <v>2017</v>
      </c>
      <c r="M16" s="386">
        <f>ROUND(IF($C$47+$F$23&gt;L16,$F$25*$F$30,0)+IF($C$48+$G$23&gt;L16,$G$25*$G$30,0)+IF($C$49+$H$23&gt;L16,$H$25*$H$30,0),0)</f>
        <v>2559</v>
      </c>
      <c r="N16" s="387">
        <f t="shared" ref="N16:N34" si="40">ROUND($C$17*(1+$C$18)^J15,3)</f>
        <v>2.7610000000000001</v>
      </c>
      <c r="O16" s="388">
        <f t="shared" si="0"/>
        <v>7065</v>
      </c>
      <c r="P16" s="387">
        <f t="shared" si="1"/>
        <v>0</v>
      </c>
      <c r="Q16" s="389">
        <f t="shared" si="25"/>
        <v>0</v>
      </c>
      <c r="R16" s="390">
        <f t="shared" si="2"/>
        <v>7065</v>
      </c>
      <c r="S16" s="372">
        <f t="shared" si="3"/>
        <v>25.6</v>
      </c>
      <c r="T16" s="389">
        <f t="shared" ref="T16:T34" si="41">ROUND($C$20*(1+$C$21)^J15,0)</f>
        <v>145</v>
      </c>
      <c r="U16" s="391">
        <f t="shared" ref="U16:U34" si="42">ROUND(S16*T16,0)</f>
        <v>3712</v>
      </c>
      <c r="V16" s="386">
        <f t="shared" si="26"/>
        <v>10777</v>
      </c>
      <c r="W16" s="392">
        <f t="shared" si="4"/>
        <v>1.9339999999999999</v>
      </c>
      <c r="X16" s="393">
        <f t="shared" si="5"/>
        <v>3217</v>
      </c>
      <c r="Y16" s="393">
        <f>ROUND($H$11,0)</f>
        <v>0</v>
      </c>
      <c r="Z16" s="393">
        <f>ROUND($H$12,0)</f>
        <v>0</v>
      </c>
      <c r="AA16" s="389">
        <f t="shared" si="6"/>
        <v>3217</v>
      </c>
      <c r="AB16" s="393">
        <f t="shared" si="7"/>
        <v>7560</v>
      </c>
      <c r="AE16" s="366">
        <f t="shared" si="27"/>
        <v>2017</v>
      </c>
      <c r="AF16" s="393">
        <f t="shared" si="8"/>
        <v>7065</v>
      </c>
      <c r="AG16" s="368">
        <f t="shared" si="9"/>
        <v>3712</v>
      </c>
      <c r="AH16" s="393">
        <f t="shared" ref="AH16:AH34" si="43">+AG16+AF16</f>
        <v>10777</v>
      </c>
      <c r="AJ16" s="394">
        <f t="shared" si="28"/>
        <v>0</v>
      </c>
      <c r="AK16" s="394">
        <f t="shared" si="28"/>
        <v>0</v>
      </c>
      <c r="AL16" s="395">
        <f t="shared" si="10"/>
        <v>0</v>
      </c>
      <c r="AN16" s="396">
        <f t="shared" si="11"/>
        <v>10777</v>
      </c>
      <c r="AQ16" s="366">
        <f t="shared" si="29"/>
        <v>2017</v>
      </c>
      <c r="AR16" s="393">
        <f t="shared" si="12"/>
        <v>7065</v>
      </c>
      <c r="AS16" s="393">
        <f t="shared" si="13"/>
        <v>3712</v>
      </c>
      <c r="AT16" s="397">
        <f t="shared" si="14"/>
        <v>2.5000000000000001E-2</v>
      </c>
      <c r="AU16" s="398">
        <f>ROUND((IF($C$47+$F$23&gt;$AQ16,$F$27*$F$30,0)+IF($C$48+$G$23&gt;AQ16,$G$27*$G$30,0)+IF($C$49+$H$23&gt;AQ16,$H$27*$H$30,0))*AT16,0)</f>
        <v>3697</v>
      </c>
      <c r="AV16" s="387">
        <f t="shared" si="15"/>
        <v>0.375</v>
      </c>
      <c r="AW16" s="393">
        <f t="shared" si="16"/>
        <v>960</v>
      </c>
      <c r="AX16" s="397"/>
      <c r="AY16" s="399"/>
      <c r="AZ16" s="393">
        <f t="shared" si="30"/>
        <v>15434</v>
      </c>
      <c r="BA16" s="381"/>
      <c r="BB16" s="393">
        <f>ROUND($H$13,0)</f>
        <v>0</v>
      </c>
      <c r="BC16" s="393">
        <f>ROUND(($H$15*$H$30)-$Z$16,0)</f>
        <v>0</v>
      </c>
      <c r="BD16" s="400">
        <f t="shared" si="31"/>
        <v>0</v>
      </c>
      <c r="BE16" s="393">
        <f t="shared" si="17"/>
        <v>15434</v>
      </c>
      <c r="BH16" s="366">
        <f t="shared" si="32"/>
        <v>2017</v>
      </c>
      <c r="BI16" s="393">
        <f>ROUND(H12,0)</f>
        <v>0</v>
      </c>
      <c r="BJ16" s="369">
        <f t="shared" si="18"/>
        <v>2559</v>
      </c>
      <c r="BK16" s="401">
        <f t="shared" si="19"/>
        <v>6.6210000000000004</v>
      </c>
      <c r="BL16" s="393">
        <f t="shared" ref="BL16:BL34" si="44">ROUND(BJ16*BK16,0)</f>
        <v>16943</v>
      </c>
      <c r="BM16" s="401">
        <f t="shared" si="20"/>
        <v>0.158</v>
      </c>
      <c r="BN16" s="398">
        <f>ROUND((IF($C$47+$F$23&gt;BH16,$F$27*$F$30,0)+IF($C$49+$H$23&gt;BH16,$H$27*$H$30,0)+IF($C$48+$G$23&gt;BH16,$G$27*$G$30,0))*BM16,0)</f>
        <v>23363</v>
      </c>
      <c r="BO16" s="402"/>
      <c r="BP16" s="393">
        <f t="shared" si="21"/>
        <v>40306</v>
      </c>
      <c r="BR16" s="393">
        <f>ROUND($H$15*$H$30,0)</f>
        <v>0</v>
      </c>
      <c r="BS16" s="393"/>
      <c r="BT16" s="393">
        <f t="shared" si="33"/>
        <v>40306</v>
      </c>
      <c r="BW16" s="366">
        <f t="shared" si="34"/>
        <v>2017</v>
      </c>
      <c r="BX16" s="393">
        <f t="shared" si="22"/>
        <v>7065</v>
      </c>
      <c r="BY16" s="369">
        <f t="shared" si="35"/>
        <v>3712</v>
      </c>
      <c r="BZ16" s="403">
        <f t="shared" si="36"/>
        <v>3697</v>
      </c>
      <c r="CA16" s="393">
        <f t="shared" si="37"/>
        <v>14474</v>
      </c>
      <c r="CC16" s="393">
        <f t="shared" si="38"/>
        <v>0</v>
      </c>
      <c r="CD16" s="393">
        <f t="shared" si="38"/>
        <v>0</v>
      </c>
      <c r="CE16" s="393">
        <f t="shared" si="39"/>
        <v>0</v>
      </c>
      <c r="CF16" s="393"/>
      <c r="CG16" s="393">
        <f t="shared" ref="CG16:CG34" si="45">CA16-CE16</f>
        <v>14474</v>
      </c>
    </row>
    <row r="17" spans="1:106">
      <c r="A17" s="185" t="s">
        <v>105</v>
      </c>
      <c r="C17" s="356">
        <f>+'Gas Input Table Summary'!$D$12</f>
        <v>2.577</v>
      </c>
      <c r="D17" s="404"/>
      <c r="E17" s="185" t="s">
        <v>64</v>
      </c>
      <c r="F17" s="195">
        <f>+'Gas Input Table Summary'!$D$35</f>
        <v>0</v>
      </c>
      <c r="G17" s="195"/>
      <c r="H17" s="195"/>
      <c r="J17" s="333">
        <f t="shared" si="23"/>
        <v>4</v>
      </c>
      <c r="L17" s="366">
        <f t="shared" si="24"/>
        <v>2018</v>
      </c>
      <c r="M17" s="386">
        <f t="shared" ref="M17:M34" si="46">ROUND(IF($C$47+$F$23&gt;L17,$F$25*$F$30,0)+IF($C$48+$G$23&gt;L17,$G$25*$G$30,0)+IF($C$49+$H$23&gt;L17,$H$25*$H$30,0),0)</f>
        <v>2559</v>
      </c>
      <c r="N17" s="387">
        <f t="shared" si="40"/>
        <v>2.8570000000000002</v>
      </c>
      <c r="O17" s="388">
        <f t="shared" si="0"/>
        <v>7311</v>
      </c>
      <c r="P17" s="387">
        <f t="shared" si="1"/>
        <v>0</v>
      </c>
      <c r="Q17" s="389">
        <f t="shared" si="25"/>
        <v>0</v>
      </c>
      <c r="R17" s="390">
        <f t="shared" si="2"/>
        <v>7311</v>
      </c>
      <c r="S17" s="372">
        <f t="shared" si="3"/>
        <v>25.6</v>
      </c>
      <c r="T17" s="389">
        <f t="shared" si="41"/>
        <v>147</v>
      </c>
      <c r="U17" s="391">
        <f t="shared" si="42"/>
        <v>3763</v>
      </c>
      <c r="V17" s="386">
        <f t="shared" si="26"/>
        <v>11074</v>
      </c>
      <c r="W17" s="392">
        <f t="shared" si="4"/>
        <v>2.0009999999999999</v>
      </c>
      <c r="X17" s="393">
        <f t="shared" si="5"/>
        <v>3328</v>
      </c>
      <c r="Y17" s="393">
        <v>0</v>
      </c>
      <c r="Z17" s="393">
        <v>0</v>
      </c>
      <c r="AA17" s="389">
        <f t="shared" si="6"/>
        <v>3328</v>
      </c>
      <c r="AB17" s="393">
        <f t="shared" si="7"/>
        <v>7746</v>
      </c>
      <c r="AE17" s="366">
        <f t="shared" si="27"/>
        <v>2018</v>
      </c>
      <c r="AF17" s="393">
        <f t="shared" si="8"/>
        <v>7311</v>
      </c>
      <c r="AG17" s="368">
        <f t="shared" si="9"/>
        <v>3763</v>
      </c>
      <c r="AH17" s="393">
        <f t="shared" si="43"/>
        <v>11074</v>
      </c>
      <c r="AJ17" s="394">
        <f t="shared" si="28"/>
        <v>0</v>
      </c>
      <c r="AK17" s="394">
        <f t="shared" si="28"/>
        <v>0</v>
      </c>
      <c r="AL17" s="395">
        <f t="shared" si="10"/>
        <v>0</v>
      </c>
      <c r="AN17" s="396">
        <f t="shared" si="11"/>
        <v>11074</v>
      </c>
      <c r="AQ17" s="366">
        <f t="shared" si="29"/>
        <v>2018</v>
      </c>
      <c r="AR17" s="393">
        <f t="shared" si="12"/>
        <v>7311</v>
      </c>
      <c r="AS17" s="393">
        <f t="shared" si="13"/>
        <v>3763</v>
      </c>
      <c r="AT17" s="397">
        <f t="shared" si="14"/>
        <v>2.5999999999999999E-2</v>
      </c>
      <c r="AU17" s="398">
        <f t="shared" ref="AU17:AU34" si="47">ROUND((IF($C$47+$F$23&gt;$AQ17,$F$27*$F$30,0)+IF($C$48+$G$23&gt;AQ17,$G$27*$G$30,0)+IF($C$49+$H$23&gt;AQ17,$H$27*$H$30,0))*AT17,0)</f>
        <v>3844</v>
      </c>
      <c r="AV17" s="387">
        <f t="shared" si="15"/>
        <v>0.38300000000000001</v>
      </c>
      <c r="AW17" s="393">
        <f t="shared" si="16"/>
        <v>980</v>
      </c>
      <c r="AX17" s="397"/>
      <c r="AY17" s="399"/>
      <c r="AZ17" s="393">
        <f t="shared" si="30"/>
        <v>15898</v>
      </c>
      <c r="BA17" s="381"/>
      <c r="BB17" s="393">
        <v>0</v>
      </c>
      <c r="BC17" s="393">
        <v>0</v>
      </c>
      <c r="BD17" s="400">
        <f t="shared" si="31"/>
        <v>0</v>
      </c>
      <c r="BE17" s="393">
        <f t="shared" si="17"/>
        <v>15898</v>
      </c>
      <c r="BH17" s="366">
        <f t="shared" si="32"/>
        <v>2018</v>
      </c>
      <c r="BI17" s="393">
        <v>0</v>
      </c>
      <c r="BJ17" s="369">
        <f t="shared" si="18"/>
        <v>2559</v>
      </c>
      <c r="BK17" s="401">
        <f t="shared" si="19"/>
        <v>6.8529999999999998</v>
      </c>
      <c r="BL17" s="393">
        <f t="shared" si="44"/>
        <v>17537</v>
      </c>
      <c r="BM17" s="401">
        <f t="shared" si="20"/>
        <v>0.16300000000000001</v>
      </c>
      <c r="BN17" s="398">
        <f t="shared" ref="BN17:BN34" si="48">ROUND((IF($C$47+$F$23&gt;BH17,$F$27*$F$30,0)+IF($C$49+$H$23&gt;BH17,$H$27*$H$30,0)+IF($C$48+$G$23&gt;BH17,$G$27*$G$30,0))*BM17,0)</f>
        <v>24102</v>
      </c>
      <c r="BO17" s="402"/>
      <c r="BP17" s="393">
        <f t="shared" si="21"/>
        <v>41639</v>
      </c>
      <c r="BR17" s="393">
        <f t="shared" ref="BR17:BR34" si="49">+BC17</f>
        <v>0</v>
      </c>
      <c r="BS17" s="393"/>
      <c r="BT17" s="393">
        <f t="shared" si="33"/>
        <v>41639</v>
      </c>
      <c r="BW17" s="366">
        <f t="shared" si="34"/>
        <v>2018</v>
      </c>
      <c r="BX17" s="393">
        <f t="shared" si="22"/>
        <v>7311</v>
      </c>
      <c r="BY17" s="369">
        <f t="shared" si="35"/>
        <v>3763</v>
      </c>
      <c r="BZ17" s="403">
        <f t="shared" si="36"/>
        <v>3844</v>
      </c>
      <c r="CA17" s="393">
        <f t="shared" si="37"/>
        <v>14918</v>
      </c>
      <c r="CC17" s="393">
        <f t="shared" si="38"/>
        <v>0</v>
      </c>
      <c r="CD17" s="393">
        <f t="shared" si="38"/>
        <v>0</v>
      </c>
      <c r="CE17" s="393">
        <f t="shared" si="39"/>
        <v>0</v>
      </c>
      <c r="CF17" s="393"/>
      <c r="CG17" s="393">
        <f t="shared" si="45"/>
        <v>14918</v>
      </c>
    </row>
    <row r="18" spans="1:106">
      <c r="A18" s="185" t="s">
        <v>18</v>
      </c>
      <c r="C18" s="358">
        <f>+'Gas Input Table Summary'!$D$13</f>
        <v>3.5000000000000003E-2</v>
      </c>
      <c r="E18" s="187" t="s">
        <v>65</v>
      </c>
      <c r="F18" s="405">
        <f>+'Gas Input Table Summary'!$D$38</f>
        <v>0</v>
      </c>
      <c r="G18" s="405"/>
      <c r="H18" s="405"/>
      <c r="J18" s="333">
        <f t="shared" si="23"/>
        <v>5</v>
      </c>
      <c r="L18" s="366">
        <f t="shared" si="24"/>
        <v>2019</v>
      </c>
      <c r="M18" s="386">
        <f t="shared" si="46"/>
        <v>2559</v>
      </c>
      <c r="N18" s="387">
        <f t="shared" si="40"/>
        <v>2.9569999999999999</v>
      </c>
      <c r="O18" s="388">
        <f t="shared" si="0"/>
        <v>7567</v>
      </c>
      <c r="P18" s="387">
        <f t="shared" si="1"/>
        <v>0</v>
      </c>
      <c r="Q18" s="389">
        <f t="shared" si="25"/>
        <v>0</v>
      </c>
      <c r="R18" s="390">
        <f t="shared" si="2"/>
        <v>7567</v>
      </c>
      <c r="S18" s="372">
        <f t="shared" si="3"/>
        <v>25.6</v>
      </c>
      <c r="T18" s="389">
        <f t="shared" si="41"/>
        <v>148</v>
      </c>
      <c r="U18" s="391">
        <f t="shared" si="42"/>
        <v>3789</v>
      </c>
      <c r="V18" s="386">
        <f t="shared" si="26"/>
        <v>11356</v>
      </c>
      <c r="W18" s="392">
        <f t="shared" si="4"/>
        <v>2.0710000000000002</v>
      </c>
      <c r="X18" s="393">
        <f t="shared" si="5"/>
        <v>3445</v>
      </c>
      <c r="Y18" s="393">
        <v>0</v>
      </c>
      <c r="Z18" s="393">
        <v>0</v>
      </c>
      <c r="AA18" s="389">
        <f t="shared" si="6"/>
        <v>3445</v>
      </c>
      <c r="AB18" s="393">
        <f t="shared" si="7"/>
        <v>7911</v>
      </c>
      <c r="AE18" s="366">
        <f t="shared" si="27"/>
        <v>2019</v>
      </c>
      <c r="AF18" s="393">
        <f t="shared" si="8"/>
        <v>7567</v>
      </c>
      <c r="AG18" s="368">
        <f t="shared" si="9"/>
        <v>3789</v>
      </c>
      <c r="AH18" s="393">
        <f t="shared" si="43"/>
        <v>11356</v>
      </c>
      <c r="AJ18" s="394">
        <f t="shared" si="28"/>
        <v>0</v>
      </c>
      <c r="AK18" s="394">
        <f t="shared" si="28"/>
        <v>0</v>
      </c>
      <c r="AL18" s="395">
        <f t="shared" si="10"/>
        <v>0</v>
      </c>
      <c r="AN18" s="396">
        <f t="shared" si="11"/>
        <v>11356</v>
      </c>
      <c r="AQ18" s="366">
        <f t="shared" si="29"/>
        <v>2019</v>
      </c>
      <c r="AR18" s="393">
        <f t="shared" si="12"/>
        <v>7567</v>
      </c>
      <c r="AS18" s="393">
        <f t="shared" si="13"/>
        <v>3789</v>
      </c>
      <c r="AT18" s="397">
        <f t="shared" si="14"/>
        <v>2.7E-2</v>
      </c>
      <c r="AU18" s="398">
        <f t="shared" si="47"/>
        <v>3992</v>
      </c>
      <c r="AV18" s="387">
        <f t="shared" si="15"/>
        <v>0.39200000000000002</v>
      </c>
      <c r="AW18" s="393">
        <f t="shared" si="16"/>
        <v>1003</v>
      </c>
      <c r="AX18" s="397"/>
      <c r="AY18" s="399"/>
      <c r="AZ18" s="393">
        <f t="shared" si="30"/>
        <v>16351</v>
      </c>
      <c r="BA18" s="381"/>
      <c r="BB18" s="393">
        <v>0</v>
      </c>
      <c r="BC18" s="393">
        <v>0</v>
      </c>
      <c r="BD18" s="400">
        <f t="shared" si="31"/>
        <v>0</v>
      </c>
      <c r="BE18" s="393">
        <f t="shared" si="17"/>
        <v>16351</v>
      </c>
      <c r="BH18" s="366">
        <f t="shared" si="32"/>
        <v>2019</v>
      </c>
      <c r="BI18" s="393">
        <v>0</v>
      </c>
      <c r="BJ18" s="369">
        <f t="shared" si="18"/>
        <v>2559</v>
      </c>
      <c r="BK18" s="401">
        <f t="shared" si="19"/>
        <v>7.093</v>
      </c>
      <c r="BL18" s="393">
        <f t="shared" si="44"/>
        <v>18151</v>
      </c>
      <c r="BM18" s="401">
        <f t="shared" si="20"/>
        <v>0.16900000000000001</v>
      </c>
      <c r="BN18" s="398">
        <f t="shared" si="48"/>
        <v>24989</v>
      </c>
      <c r="BO18" s="402"/>
      <c r="BP18" s="393">
        <f t="shared" si="21"/>
        <v>43140</v>
      </c>
      <c r="BR18" s="393">
        <f t="shared" si="49"/>
        <v>0</v>
      </c>
      <c r="BS18" s="393"/>
      <c r="BT18" s="393">
        <f t="shared" si="33"/>
        <v>43140</v>
      </c>
      <c r="BW18" s="366">
        <f t="shared" si="34"/>
        <v>2019</v>
      </c>
      <c r="BX18" s="393">
        <f t="shared" si="22"/>
        <v>7567</v>
      </c>
      <c r="BY18" s="369">
        <f t="shared" si="35"/>
        <v>3789</v>
      </c>
      <c r="BZ18" s="403">
        <f t="shared" si="36"/>
        <v>3992</v>
      </c>
      <c r="CA18" s="393">
        <f t="shared" si="37"/>
        <v>15348</v>
      </c>
      <c r="CC18" s="393">
        <f t="shared" si="38"/>
        <v>0</v>
      </c>
      <c r="CD18" s="393">
        <f t="shared" si="38"/>
        <v>0</v>
      </c>
      <c r="CE18" s="393">
        <f t="shared" si="39"/>
        <v>0</v>
      </c>
      <c r="CF18" s="393"/>
      <c r="CG18" s="393">
        <f t="shared" si="45"/>
        <v>15348</v>
      </c>
      <c r="DB18" s="337" t="s">
        <v>42</v>
      </c>
    </row>
    <row r="19" spans="1:106">
      <c r="C19" s="185"/>
      <c r="J19" s="333">
        <f t="shared" si="23"/>
        <v>6</v>
      </c>
      <c r="L19" s="366">
        <f t="shared" si="24"/>
        <v>2020</v>
      </c>
      <c r="M19" s="386">
        <f t="shared" si="46"/>
        <v>2559</v>
      </c>
      <c r="N19" s="387">
        <f t="shared" si="40"/>
        <v>3.0609999999999999</v>
      </c>
      <c r="O19" s="388">
        <f t="shared" si="0"/>
        <v>7833</v>
      </c>
      <c r="P19" s="387">
        <f t="shared" si="1"/>
        <v>0</v>
      </c>
      <c r="Q19" s="389">
        <f t="shared" si="25"/>
        <v>0</v>
      </c>
      <c r="R19" s="390">
        <f t="shared" si="2"/>
        <v>7833</v>
      </c>
      <c r="S19" s="372">
        <f t="shared" si="3"/>
        <v>25.6</v>
      </c>
      <c r="T19" s="389">
        <f t="shared" si="41"/>
        <v>149</v>
      </c>
      <c r="U19" s="391">
        <f t="shared" si="42"/>
        <v>3814</v>
      </c>
      <c r="V19" s="386">
        <f t="shared" si="26"/>
        <v>11647</v>
      </c>
      <c r="W19" s="392">
        <f t="shared" si="4"/>
        <v>2.1440000000000001</v>
      </c>
      <c r="X19" s="393">
        <f t="shared" si="5"/>
        <v>3566</v>
      </c>
      <c r="Y19" s="393">
        <v>0</v>
      </c>
      <c r="Z19" s="393">
        <v>0</v>
      </c>
      <c r="AA19" s="389">
        <f t="shared" si="6"/>
        <v>3566</v>
      </c>
      <c r="AB19" s="393">
        <f t="shared" si="7"/>
        <v>8081</v>
      </c>
      <c r="AE19" s="366">
        <f t="shared" si="27"/>
        <v>2020</v>
      </c>
      <c r="AF19" s="393">
        <f t="shared" si="8"/>
        <v>7833</v>
      </c>
      <c r="AG19" s="368">
        <f t="shared" si="9"/>
        <v>3814</v>
      </c>
      <c r="AH19" s="393">
        <f t="shared" si="43"/>
        <v>11647</v>
      </c>
      <c r="AJ19" s="394">
        <f t="shared" si="28"/>
        <v>0</v>
      </c>
      <c r="AK19" s="394">
        <f t="shared" si="28"/>
        <v>0</v>
      </c>
      <c r="AL19" s="395">
        <f t="shared" si="10"/>
        <v>0</v>
      </c>
      <c r="AN19" s="396">
        <f t="shared" si="11"/>
        <v>11647</v>
      </c>
      <c r="AQ19" s="366">
        <f t="shared" si="29"/>
        <v>2020</v>
      </c>
      <c r="AR19" s="393">
        <f t="shared" si="12"/>
        <v>7833</v>
      </c>
      <c r="AS19" s="393">
        <f t="shared" si="13"/>
        <v>3814</v>
      </c>
      <c r="AT19" s="397">
        <f t="shared" si="14"/>
        <v>2.8000000000000001E-2</v>
      </c>
      <c r="AU19" s="398">
        <f t="shared" si="47"/>
        <v>4140</v>
      </c>
      <c r="AV19" s="387">
        <f t="shared" si="15"/>
        <v>0.40100000000000002</v>
      </c>
      <c r="AW19" s="393">
        <f t="shared" si="16"/>
        <v>1026</v>
      </c>
      <c r="AX19" s="397"/>
      <c r="AY19" s="399"/>
      <c r="AZ19" s="393">
        <f t="shared" si="30"/>
        <v>16813</v>
      </c>
      <c r="BA19" s="381"/>
      <c r="BB19" s="393">
        <v>0</v>
      </c>
      <c r="BC19" s="393">
        <v>0</v>
      </c>
      <c r="BD19" s="400">
        <f t="shared" si="31"/>
        <v>0</v>
      </c>
      <c r="BE19" s="393">
        <f t="shared" si="17"/>
        <v>16813</v>
      </c>
      <c r="BH19" s="366">
        <f t="shared" si="32"/>
        <v>2020</v>
      </c>
      <c r="BI19" s="393">
        <v>0</v>
      </c>
      <c r="BJ19" s="369">
        <f t="shared" si="18"/>
        <v>2559</v>
      </c>
      <c r="BK19" s="401">
        <f t="shared" si="19"/>
        <v>7.3410000000000002</v>
      </c>
      <c r="BL19" s="393">
        <f t="shared" si="44"/>
        <v>18786</v>
      </c>
      <c r="BM19" s="401">
        <f t="shared" si="20"/>
        <v>0.17499999999999999</v>
      </c>
      <c r="BN19" s="398">
        <f t="shared" si="48"/>
        <v>25876</v>
      </c>
      <c r="BO19" s="402"/>
      <c r="BP19" s="393">
        <f t="shared" si="21"/>
        <v>44662</v>
      </c>
      <c r="BR19" s="393">
        <f t="shared" si="49"/>
        <v>0</v>
      </c>
      <c r="BS19" s="393"/>
      <c r="BT19" s="393">
        <f t="shared" si="33"/>
        <v>44662</v>
      </c>
      <c r="BW19" s="366">
        <f t="shared" si="34"/>
        <v>2020</v>
      </c>
      <c r="BX19" s="393">
        <f t="shared" si="22"/>
        <v>7833</v>
      </c>
      <c r="BY19" s="369">
        <f t="shared" si="35"/>
        <v>3814</v>
      </c>
      <c r="BZ19" s="403">
        <f t="shared" si="36"/>
        <v>4140</v>
      </c>
      <c r="CA19" s="393">
        <f t="shared" si="37"/>
        <v>15787</v>
      </c>
      <c r="CC19" s="393">
        <f t="shared" si="38"/>
        <v>0</v>
      </c>
      <c r="CD19" s="393">
        <f t="shared" si="38"/>
        <v>0</v>
      </c>
      <c r="CE19" s="393">
        <f t="shared" si="39"/>
        <v>0</v>
      </c>
      <c r="CF19" s="393"/>
      <c r="CG19" s="393">
        <f t="shared" si="45"/>
        <v>15787</v>
      </c>
    </row>
    <row r="20" spans="1:106">
      <c r="A20" s="185" t="s">
        <v>66</v>
      </c>
      <c r="C20" s="406">
        <f>+'Gas Input Table Summary'!$D$14</f>
        <v>142.21</v>
      </c>
      <c r="E20" s="185" t="s">
        <v>67</v>
      </c>
      <c r="F20" s="195">
        <f>+'Gas Input Table Summary'!$D$41</f>
        <v>0</v>
      </c>
      <c r="G20" s="195"/>
      <c r="H20" s="195"/>
      <c r="J20" s="333">
        <f t="shared" si="23"/>
        <v>7</v>
      </c>
      <c r="L20" s="366">
        <f t="shared" si="24"/>
        <v>2021</v>
      </c>
      <c r="M20" s="386">
        <f t="shared" si="46"/>
        <v>2559</v>
      </c>
      <c r="N20" s="387">
        <f t="shared" si="40"/>
        <v>3.1680000000000001</v>
      </c>
      <c r="O20" s="388">
        <f t="shared" si="0"/>
        <v>8107</v>
      </c>
      <c r="P20" s="387">
        <f t="shared" si="1"/>
        <v>0</v>
      </c>
      <c r="Q20" s="389">
        <f t="shared" si="25"/>
        <v>0</v>
      </c>
      <c r="R20" s="390">
        <f t="shared" si="2"/>
        <v>8107</v>
      </c>
      <c r="S20" s="372">
        <f t="shared" si="3"/>
        <v>25.6</v>
      </c>
      <c r="T20" s="389">
        <f t="shared" si="41"/>
        <v>151</v>
      </c>
      <c r="U20" s="391">
        <f t="shared" si="42"/>
        <v>3866</v>
      </c>
      <c r="V20" s="386">
        <f t="shared" si="26"/>
        <v>11973</v>
      </c>
      <c r="W20" s="392">
        <f t="shared" si="4"/>
        <v>2.2189999999999999</v>
      </c>
      <c r="X20" s="393">
        <f t="shared" si="5"/>
        <v>3691</v>
      </c>
      <c r="Y20" s="393">
        <v>0</v>
      </c>
      <c r="Z20" s="393">
        <v>0</v>
      </c>
      <c r="AA20" s="389">
        <f t="shared" si="6"/>
        <v>3691</v>
      </c>
      <c r="AB20" s="393">
        <f t="shared" si="7"/>
        <v>8282</v>
      </c>
      <c r="AE20" s="366">
        <f t="shared" si="27"/>
        <v>2021</v>
      </c>
      <c r="AF20" s="393">
        <f t="shared" si="8"/>
        <v>8107</v>
      </c>
      <c r="AG20" s="368">
        <f t="shared" si="9"/>
        <v>3866</v>
      </c>
      <c r="AH20" s="393">
        <f t="shared" si="43"/>
        <v>11973</v>
      </c>
      <c r="AJ20" s="394">
        <f t="shared" si="28"/>
        <v>0</v>
      </c>
      <c r="AK20" s="394">
        <f t="shared" si="28"/>
        <v>0</v>
      </c>
      <c r="AL20" s="395">
        <f t="shared" si="10"/>
        <v>0</v>
      </c>
      <c r="AN20" s="396">
        <f t="shared" si="11"/>
        <v>11973</v>
      </c>
      <c r="AQ20" s="366">
        <f t="shared" si="29"/>
        <v>2021</v>
      </c>
      <c r="AR20" s="393">
        <f t="shared" si="12"/>
        <v>8107</v>
      </c>
      <c r="AS20" s="393">
        <f t="shared" si="13"/>
        <v>3866</v>
      </c>
      <c r="AT20" s="397">
        <f t="shared" si="14"/>
        <v>2.9000000000000001E-2</v>
      </c>
      <c r="AU20" s="398">
        <f t="shared" si="47"/>
        <v>4288</v>
      </c>
      <c r="AV20" s="387">
        <f t="shared" si="15"/>
        <v>0.41</v>
      </c>
      <c r="AW20" s="393">
        <f t="shared" si="16"/>
        <v>1049</v>
      </c>
      <c r="AX20" s="397"/>
      <c r="AY20" s="399"/>
      <c r="AZ20" s="393">
        <f t="shared" si="30"/>
        <v>17310</v>
      </c>
      <c r="BA20" s="381"/>
      <c r="BB20" s="393">
        <v>0</v>
      </c>
      <c r="BC20" s="393">
        <v>0</v>
      </c>
      <c r="BD20" s="400">
        <f t="shared" si="31"/>
        <v>0</v>
      </c>
      <c r="BE20" s="393">
        <f t="shared" si="17"/>
        <v>17310</v>
      </c>
      <c r="BH20" s="366">
        <f t="shared" si="32"/>
        <v>2021</v>
      </c>
      <c r="BI20" s="393">
        <v>0</v>
      </c>
      <c r="BJ20" s="369">
        <f t="shared" si="18"/>
        <v>2559</v>
      </c>
      <c r="BK20" s="401">
        <f t="shared" si="19"/>
        <v>7.5979999999999999</v>
      </c>
      <c r="BL20" s="393">
        <f t="shared" si="44"/>
        <v>19443</v>
      </c>
      <c r="BM20" s="401">
        <f t="shared" si="20"/>
        <v>0.18099999999999999</v>
      </c>
      <c r="BN20" s="398">
        <f t="shared" si="48"/>
        <v>26763</v>
      </c>
      <c r="BO20" s="402"/>
      <c r="BP20" s="393">
        <f t="shared" si="21"/>
        <v>46206</v>
      </c>
      <c r="BR20" s="393">
        <f t="shared" si="49"/>
        <v>0</v>
      </c>
      <c r="BS20" s="393"/>
      <c r="BT20" s="393">
        <f t="shared" si="33"/>
        <v>46206</v>
      </c>
      <c r="BW20" s="366">
        <f t="shared" si="34"/>
        <v>2021</v>
      </c>
      <c r="BX20" s="393">
        <f t="shared" si="22"/>
        <v>8107</v>
      </c>
      <c r="BY20" s="369">
        <f t="shared" si="35"/>
        <v>3866</v>
      </c>
      <c r="BZ20" s="403">
        <f t="shared" si="36"/>
        <v>4288</v>
      </c>
      <c r="CA20" s="393">
        <f t="shared" si="37"/>
        <v>16261</v>
      </c>
      <c r="CC20" s="393">
        <f t="shared" si="38"/>
        <v>0</v>
      </c>
      <c r="CD20" s="393">
        <f t="shared" si="38"/>
        <v>0</v>
      </c>
      <c r="CE20" s="393">
        <f t="shared" si="39"/>
        <v>0</v>
      </c>
      <c r="CF20" s="393"/>
      <c r="CG20" s="393">
        <f t="shared" si="45"/>
        <v>16261</v>
      </c>
      <c r="DB20" s="366"/>
    </row>
    <row r="21" spans="1:106">
      <c r="A21" s="185" t="s">
        <v>18</v>
      </c>
      <c r="C21" s="358">
        <f>+'Gas Input Table Summary'!$D$15</f>
        <v>0.01</v>
      </c>
      <c r="E21" s="187" t="s">
        <v>65</v>
      </c>
      <c r="F21" s="405">
        <f>+'Gas Input Table Summary'!$D$44</f>
        <v>0</v>
      </c>
      <c r="G21" s="405"/>
      <c r="H21" s="405"/>
      <c r="J21" s="333">
        <f t="shared" si="23"/>
        <v>8</v>
      </c>
      <c r="L21" s="366">
        <f t="shared" si="24"/>
        <v>2022</v>
      </c>
      <c r="M21" s="386">
        <f t="shared" si="46"/>
        <v>2559</v>
      </c>
      <c r="N21" s="387">
        <f t="shared" si="40"/>
        <v>3.2789999999999999</v>
      </c>
      <c r="O21" s="388">
        <f t="shared" si="0"/>
        <v>8391</v>
      </c>
      <c r="P21" s="387">
        <f t="shared" si="1"/>
        <v>0</v>
      </c>
      <c r="Q21" s="389">
        <f t="shared" si="25"/>
        <v>0</v>
      </c>
      <c r="R21" s="390">
        <f t="shared" si="2"/>
        <v>8391</v>
      </c>
      <c r="S21" s="372">
        <f t="shared" si="3"/>
        <v>25.6</v>
      </c>
      <c r="T21" s="389">
        <f t="shared" si="41"/>
        <v>152</v>
      </c>
      <c r="U21" s="391">
        <f t="shared" si="42"/>
        <v>3891</v>
      </c>
      <c r="V21" s="386">
        <f t="shared" si="26"/>
        <v>12282</v>
      </c>
      <c r="W21" s="392">
        <f t="shared" si="4"/>
        <v>2.2970000000000002</v>
      </c>
      <c r="X21" s="393">
        <f t="shared" si="5"/>
        <v>3821</v>
      </c>
      <c r="Y21" s="393">
        <v>0</v>
      </c>
      <c r="Z21" s="393">
        <v>0</v>
      </c>
      <c r="AA21" s="389">
        <f t="shared" si="6"/>
        <v>3821</v>
      </c>
      <c r="AB21" s="393">
        <f t="shared" si="7"/>
        <v>8461</v>
      </c>
      <c r="AE21" s="366">
        <f t="shared" si="27"/>
        <v>2022</v>
      </c>
      <c r="AF21" s="393">
        <f t="shared" si="8"/>
        <v>8391</v>
      </c>
      <c r="AG21" s="368">
        <f t="shared" si="9"/>
        <v>3891</v>
      </c>
      <c r="AH21" s="393">
        <f t="shared" si="43"/>
        <v>12282</v>
      </c>
      <c r="AJ21" s="394">
        <f t="shared" si="28"/>
        <v>0</v>
      </c>
      <c r="AK21" s="394">
        <f t="shared" si="28"/>
        <v>0</v>
      </c>
      <c r="AL21" s="395">
        <f t="shared" si="10"/>
        <v>0</v>
      </c>
      <c r="AN21" s="396">
        <f t="shared" si="11"/>
        <v>12282</v>
      </c>
      <c r="AQ21" s="366">
        <f t="shared" si="29"/>
        <v>2022</v>
      </c>
      <c r="AR21" s="393">
        <f t="shared" si="12"/>
        <v>8391</v>
      </c>
      <c r="AS21" s="393">
        <f t="shared" si="13"/>
        <v>3891</v>
      </c>
      <c r="AT21" s="397">
        <f t="shared" si="14"/>
        <v>0.03</v>
      </c>
      <c r="AU21" s="398">
        <f t="shared" si="47"/>
        <v>4436</v>
      </c>
      <c r="AV21" s="387">
        <f t="shared" si="15"/>
        <v>0.42</v>
      </c>
      <c r="AW21" s="393">
        <f t="shared" si="16"/>
        <v>1075</v>
      </c>
      <c r="AX21" s="397"/>
      <c r="AY21" s="399"/>
      <c r="AZ21" s="393">
        <f t="shared" si="30"/>
        <v>17793</v>
      </c>
      <c r="BA21" s="381"/>
      <c r="BB21" s="393">
        <v>0</v>
      </c>
      <c r="BC21" s="393">
        <v>0</v>
      </c>
      <c r="BD21" s="400">
        <f t="shared" si="31"/>
        <v>0</v>
      </c>
      <c r="BE21" s="393">
        <f t="shared" si="17"/>
        <v>17793</v>
      </c>
      <c r="BH21" s="366">
        <f t="shared" si="32"/>
        <v>2022</v>
      </c>
      <c r="BI21" s="393">
        <v>0</v>
      </c>
      <c r="BJ21" s="369">
        <f t="shared" si="18"/>
        <v>2559</v>
      </c>
      <c r="BK21" s="401">
        <f t="shared" si="19"/>
        <v>7.8639999999999999</v>
      </c>
      <c r="BL21" s="393">
        <f t="shared" si="44"/>
        <v>20124</v>
      </c>
      <c r="BM21" s="401">
        <f t="shared" si="20"/>
        <v>0.187</v>
      </c>
      <c r="BN21" s="398">
        <f t="shared" si="48"/>
        <v>27651</v>
      </c>
      <c r="BO21" s="402"/>
      <c r="BP21" s="393">
        <f t="shared" si="21"/>
        <v>47775</v>
      </c>
      <c r="BR21" s="393">
        <f t="shared" si="49"/>
        <v>0</v>
      </c>
      <c r="BS21" s="393"/>
      <c r="BT21" s="393">
        <f t="shared" si="33"/>
        <v>47775</v>
      </c>
      <c r="BW21" s="366">
        <f t="shared" si="34"/>
        <v>2022</v>
      </c>
      <c r="BX21" s="393">
        <f t="shared" si="22"/>
        <v>8391</v>
      </c>
      <c r="BY21" s="369">
        <f t="shared" si="35"/>
        <v>3891</v>
      </c>
      <c r="BZ21" s="403">
        <f t="shared" si="36"/>
        <v>4436</v>
      </c>
      <c r="CA21" s="393">
        <f t="shared" si="37"/>
        <v>16718</v>
      </c>
      <c r="CC21" s="393">
        <f t="shared" si="38"/>
        <v>0</v>
      </c>
      <c r="CD21" s="393">
        <f t="shared" si="38"/>
        <v>0</v>
      </c>
      <c r="CE21" s="393">
        <f t="shared" si="39"/>
        <v>0</v>
      </c>
      <c r="CF21" s="393"/>
      <c r="CG21" s="393">
        <f t="shared" si="45"/>
        <v>16718</v>
      </c>
      <c r="DB21" s="333">
        <f>$J14</f>
        <v>1</v>
      </c>
    </row>
    <row r="22" spans="1:106">
      <c r="F22" s="368"/>
      <c r="G22" s="368"/>
      <c r="H22" s="368"/>
      <c r="J22" s="333">
        <f t="shared" si="23"/>
        <v>9</v>
      </c>
      <c r="L22" s="366">
        <f t="shared" si="24"/>
        <v>2023</v>
      </c>
      <c r="M22" s="386">
        <f t="shared" si="46"/>
        <v>2559</v>
      </c>
      <c r="N22" s="387">
        <f t="shared" si="40"/>
        <v>3.3929999999999998</v>
      </c>
      <c r="O22" s="388">
        <f t="shared" si="0"/>
        <v>8683</v>
      </c>
      <c r="P22" s="387">
        <f t="shared" si="1"/>
        <v>0</v>
      </c>
      <c r="Q22" s="389">
        <f t="shared" si="25"/>
        <v>0</v>
      </c>
      <c r="R22" s="390">
        <f t="shared" si="2"/>
        <v>8683</v>
      </c>
      <c r="S22" s="372">
        <f t="shared" si="3"/>
        <v>25.6</v>
      </c>
      <c r="T22" s="389">
        <f t="shared" si="41"/>
        <v>154</v>
      </c>
      <c r="U22" s="391">
        <f t="shared" si="42"/>
        <v>3942</v>
      </c>
      <c r="V22" s="386">
        <f t="shared" si="26"/>
        <v>12625</v>
      </c>
      <c r="W22" s="392">
        <f t="shared" si="4"/>
        <v>2.3769999999999998</v>
      </c>
      <c r="X22" s="393">
        <f t="shared" si="5"/>
        <v>3954</v>
      </c>
      <c r="Y22" s="393">
        <v>0</v>
      </c>
      <c r="Z22" s="393">
        <v>0</v>
      </c>
      <c r="AA22" s="389">
        <f t="shared" si="6"/>
        <v>3954</v>
      </c>
      <c r="AB22" s="393">
        <f t="shared" si="7"/>
        <v>8671</v>
      </c>
      <c r="AE22" s="366">
        <f t="shared" si="27"/>
        <v>2023</v>
      </c>
      <c r="AF22" s="393">
        <f t="shared" si="8"/>
        <v>8683</v>
      </c>
      <c r="AG22" s="368">
        <f t="shared" si="9"/>
        <v>3942</v>
      </c>
      <c r="AH22" s="393">
        <f t="shared" si="43"/>
        <v>12625</v>
      </c>
      <c r="AJ22" s="394">
        <f t="shared" si="28"/>
        <v>0</v>
      </c>
      <c r="AK22" s="394">
        <f t="shared" si="28"/>
        <v>0</v>
      </c>
      <c r="AL22" s="395">
        <f t="shared" si="10"/>
        <v>0</v>
      </c>
      <c r="AN22" s="396">
        <f t="shared" si="11"/>
        <v>12625</v>
      </c>
      <c r="AQ22" s="366">
        <f t="shared" si="29"/>
        <v>2023</v>
      </c>
      <c r="AR22" s="393">
        <f t="shared" si="12"/>
        <v>8683</v>
      </c>
      <c r="AS22" s="393">
        <f t="shared" si="13"/>
        <v>3942</v>
      </c>
      <c r="AT22" s="397">
        <f t="shared" si="14"/>
        <v>3.1E-2</v>
      </c>
      <c r="AU22" s="398">
        <f t="shared" si="47"/>
        <v>4584</v>
      </c>
      <c r="AV22" s="387">
        <f t="shared" si="15"/>
        <v>0.42899999999999999</v>
      </c>
      <c r="AW22" s="393">
        <f t="shared" si="16"/>
        <v>1098</v>
      </c>
      <c r="AX22" s="397"/>
      <c r="AY22" s="399"/>
      <c r="AZ22" s="393">
        <f t="shared" si="30"/>
        <v>18307</v>
      </c>
      <c r="BA22" s="381"/>
      <c r="BB22" s="393">
        <v>0</v>
      </c>
      <c r="BC22" s="393">
        <v>0</v>
      </c>
      <c r="BD22" s="400">
        <f t="shared" si="31"/>
        <v>0</v>
      </c>
      <c r="BE22" s="393">
        <f t="shared" si="17"/>
        <v>18307</v>
      </c>
      <c r="BH22" s="366">
        <f t="shared" si="32"/>
        <v>2023</v>
      </c>
      <c r="BI22" s="393">
        <v>0</v>
      </c>
      <c r="BJ22" s="369">
        <f t="shared" si="18"/>
        <v>2559</v>
      </c>
      <c r="BK22" s="401">
        <f t="shared" si="19"/>
        <v>8.1389999999999993</v>
      </c>
      <c r="BL22" s="393">
        <f t="shared" si="44"/>
        <v>20828</v>
      </c>
      <c r="BM22" s="401">
        <f t="shared" si="20"/>
        <v>0.19400000000000001</v>
      </c>
      <c r="BN22" s="398">
        <f t="shared" si="48"/>
        <v>28686</v>
      </c>
      <c r="BO22" s="402"/>
      <c r="BP22" s="393">
        <f t="shared" si="21"/>
        <v>49514</v>
      </c>
      <c r="BR22" s="393">
        <f t="shared" si="49"/>
        <v>0</v>
      </c>
      <c r="BS22" s="393"/>
      <c r="BT22" s="393">
        <f t="shared" si="33"/>
        <v>49514</v>
      </c>
      <c r="BW22" s="366">
        <f t="shared" si="34"/>
        <v>2023</v>
      </c>
      <c r="BX22" s="393">
        <f t="shared" si="22"/>
        <v>8683</v>
      </c>
      <c r="BY22" s="369">
        <f t="shared" si="35"/>
        <v>3942</v>
      </c>
      <c r="BZ22" s="403">
        <f t="shared" si="36"/>
        <v>4584</v>
      </c>
      <c r="CA22" s="393">
        <f t="shared" si="37"/>
        <v>17209</v>
      </c>
      <c r="CC22" s="393">
        <f t="shared" si="38"/>
        <v>0</v>
      </c>
      <c r="CD22" s="393">
        <f t="shared" si="38"/>
        <v>0</v>
      </c>
      <c r="CE22" s="393">
        <f t="shared" si="39"/>
        <v>0</v>
      </c>
      <c r="CF22" s="393"/>
      <c r="CG22" s="393">
        <f t="shared" si="45"/>
        <v>17209</v>
      </c>
      <c r="DB22" s="333">
        <f>$J15</f>
        <v>2</v>
      </c>
    </row>
    <row r="23" spans="1:106">
      <c r="A23" s="185" t="s">
        <v>68</v>
      </c>
      <c r="C23" s="407">
        <f>+'Gas Input Table Summary'!$D$16</f>
        <v>0.01</v>
      </c>
      <c r="E23" s="185" t="s">
        <v>69</v>
      </c>
      <c r="F23" s="408">
        <f>ROUND('Database Inputs'!D11,0)</f>
        <v>20</v>
      </c>
      <c r="G23" s="408"/>
      <c r="H23" s="408"/>
      <c r="J23" s="333">
        <f t="shared" si="23"/>
        <v>10</v>
      </c>
      <c r="L23" s="366">
        <f t="shared" si="24"/>
        <v>2024</v>
      </c>
      <c r="M23" s="386">
        <f t="shared" si="46"/>
        <v>2559</v>
      </c>
      <c r="N23" s="387">
        <f t="shared" si="40"/>
        <v>3.512</v>
      </c>
      <c r="O23" s="388">
        <f t="shared" si="0"/>
        <v>8987</v>
      </c>
      <c r="P23" s="387">
        <f t="shared" si="1"/>
        <v>0</v>
      </c>
      <c r="Q23" s="389">
        <f t="shared" si="25"/>
        <v>0</v>
      </c>
      <c r="R23" s="390">
        <f t="shared" si="2"/>
        <v>8987</v>
      </c>
      <c r="S23" s="372">
        <f t="shared" si="3"/>
        <v>25.6</v>
      </c>
      <c r="T23" s="389">
        <f t="shared" si="41"/>
        <v>156</v>
      </c>
      <c r="U23" s="391">
        <f t="shared" si="42"/>
        <v>3994</v>
      </c>
      <c r="V23" s="386">
        <f t="shared" si="26"/>
        <v>12981</v>
      </c>
      <c r="W23" s="392">
        <f t="shared" si="4"/>
        <v>2.46</v>
      </c>
      <c r="X23" s="393">
        <f t="shared" si="5"/>
        <v>4092</v>
      </c>
      <c r="Y23" s="393">
        <v>0</v>
      </c>
      <c r="Z23" s="393">
        <v>0</v>
      </c>
      <c r="AA23" s="389">
        <f t="shared" si="6"/>
        <v>4092</v>
      </c>
      <c r="AB23" s="393">
        <f t="shared" si="7"/>
        <v>8889</v>
      </c>
      <c r="AE23" s="366">
        <f t="shared" si="27"/>
        <v>2024</v>
      </c>
      <c r="AF23" s="393">
        <f t="shared" si="8"/>
        <v>8987</v>
      </c>
      <c r="AG23" s="368">
        <f t="shared" si="9"/>
        <v>3994</v>
      </c>
      <c r="AH23" s="393">
        <f t="shared" si="43"/>
        <v>12981</v>
      </c>
      <c r="AJ23" s="394">
        <f t="shared" si="28"/>
        <v>0</v>
      </c>
      <c r="AK23" s="394">
        <f t="shared" si="28"/>
        <v>0</v>
      </c>
      <c r="AL23" s="395">
        <f t="shared" si="10"/>
        <v>0</v>
      </c>
      <c r="AN23" s="396">
        <f t="shared" si="11"/>
        <v>12981</v>
      </c>
      <c r="AQ23" s="366">
        <f t="shared" si="29"/>
        <v>2024</v>
      </c>
      <c r="AR23" s="393">
        <f t="shared" si="12"/>
        <v>8987</v>
      </c>
      <c r="AS23" s="393">
        <f t="shared" si="13"/>
        <v>3994</v>
      </c>
      <c r="AT23" s="397">
        <f t="shared" si="14"/>
        <v>3.2000000000000001E-2</v>
      </c>
      <c r="AU23" s="398">
        <f t="shared" si="47"/>
        <v>4732</v>
      </c>
      <c r="AV23" s="387">
        <f t="shared" si="15"/>
        <v>0.439</v>
      </c>
      <c r="AW23" s="393">
        <f t="shared" si="16"/>
        <v>1123</v>
      </c>
      <c r="AX23" s="397"/>
      <c r="AY23" s="399"/>
      <c r="AZ23" s="393">
        <f t="shared" si="30"/>
        <v>18836</v>
      </c>
      <c r="BA23" s="381"/>
      <c r="BB23" s="393">
        <v>0</v>
      </c>
      <c r="BC23" s="393">
        <v>0</v>
      </c>
      <c r="BD23" s="400">
        <f t="shared" si="31"/>
        <v>0</v>
      </c>
      <c r="BE23" s="393">
        <f t="shared" si="17"/>
        <v>18836</v>
      </c>
      <c r="BH23" s="366">
        <f t="shared" si="32"/>
        <v>2024</v>
      </c>
      <c r="BI23" s="393">
        <v>0</v>
      </c>
      <c r="BJ23" s="369">
        <f t="shared" si="18"/>
        <v>2559</v>
      </c>
      <c r="BK23" s="401">
        <f t="shared" si="19"/>
        <v>8.4239999999999995</v>
      </c>
      <c r="BL23" s="393">
        <f t="shared" si="44"/>
        <v>21557</v>
      </c>
      <c r="BM23" s="401">
        <f t="shared" si="20"/>
        <v>0.2</v>
      </c>
      <c r="BN23" s="398">
        <f t="shared" si="48"/>
        <v>29573</v>
      </c>
      <c r="BO23" s="402"/>
      <c r="BP23" s="393">
        <f t="shared" si="21"/>
        <v>51130</v>
      </c>
      <c r="BR23" s="393">
        <f t="shared" si="49"/>
        <v>0</v>
      </c>
      <c r="BS23" s="393"/>
      <c r="BT23" s="393">
        <f t="shared" si="33"/>
        <v>51130</v>
      </c>
      <c r="BW23" s="366">
        <f t="shared" si="34"/>
        <v>2024</v>
      </c>
      <c r="BX23" s="393">
        <f t="shared" si="22"/>
        <v>8987</v>
      </c>
      <c r="BY23" s="369">
        <f t="shared" si="35"/>
        <v>3994</v>
      </c>
      <c r="BZ23" s="403">
        <f t="shared" si="36"/>
        <v>4732</v>
      </c>
      <c r="CA23" s="393">
        <f t="shared" si="37"/>
        <v>17713</v>
      </c>
      <c r="CC23" s="393">
        <f t="shared" si="38"/>
        <v>0</v>
      </c>
      <c r="CD23" s="393">
        <f t="shared" si="38"/>
        <v>0</v>
      </c>
      <c r="CE23" s="393">
        <f t="shared" si="39"/>
        <v>0</v>
      </c>
      <c r="CF23" s="393"/>
      <c r="CG23" s="393">
        <f t="shared" si="45"/>
        <v>17713</v>
      </c>
      <c r="DB23" s="333">
        <f>$J16</f>
        <v>3</v>
      </c>
    </row>
    <row r="24" spans="1:106">
      <c r="F24" s="368"/>
      <c r="G24" s="368"/>
      <c r="H24" s="368"/>
      <c r="J24" s="333">
        <f t="shared" si="23"/>
        <v>11</v>
      </c>
      <c r="L24" s="366">
        <f t="shared" si="24"/>
        <v>2025</v>
      </c>
      <c r="M24" s="386">
        <f t="shared" si="46"/>
        <v>2559</v>
      </c>
      <c r="N24" s="387">
        <f t="shared" si="40"/>
        <v>3.6349999999999998</v>
      </c>
      <c r="O24" s="388">
        <f t="shared" si="0"/>
        <v>9302</v>
      </c>
      <c r="P24" s="387">
        <f t="shared" si="1"/>
        <v>0</v>
      </c>
      <c r="Q24" s="389">
        <f t="shared" si="25"/>
        <v>0</v>
      </c>
      <c r="R24" s="390">
        <f t="shared" si="2"/>
        <v>9302</v>
      </c>
      <c r="S24" s="372">
        <f t="shared" si="3"/>
        <v>25.6</v>
      </c>
      <c r="T24" s="389">
        <f t="shared" si="41"/>
        <v>157</v>
      </c>
      <c r="U24" s="391">
        <f t="shared" si="42"/>
        <v>4019</v>
      </c>
      <c r="V24" s="386">
        <f t="shared" si="26"/>
        <v>13321</v>
      </c>
      <c r="W24" s="392">
        <f t="shared" si="4"/>
        <v>2.5459999999999998</v>
      </c>
      <c r="X24" s="393">
        <f t="shared" si="5"/>
        <v>4235</v>
      </c>
      <c r="Y24" s="393">
        <v>0</v>
      </c>
      <c r="Z24" s="393">
        <v>0</v>
      </c>
      <c r="AA24" s="389">
        <f t="shared" si="6"/>
        <v>4235</v>
      </c>
      <c r="AB24" s="393">
        <f t="shared" si="7"/>
        <v>9086</v>
      </c>
      <c r="AE24" s="366">
        <f t="shared" si="27"/>
        <v>2025</v>
      </c>
      <c r="AF24" s="393">
        <f t="shared" si="8"/>
        <v>9302</v>
      </c>
      <c r="AG24" s="368">
        <f t="shared" si="9"/>
        <v>4019</v>
      </c>
      <c r="AH24" s="393">
        <f t="shared" si="43"/>
        <v>13321</v>
      </c>
      <c r="AJ24" s="394">
        <f t="shared" si="28"/>
        <v>0</v>
      </c>
      <c r="AK24" s="394">
        <f t="shared" si="28"/>
        <v>0</v>
      </c>
      <c r="AL24" s="395">
        <f t="shared" si="10"/>
        <v>0</v>
      </c>
      <c r="AN24" s="396">
        <f t="shared" si="11"/>
        <v>13321</v>
      </c>
      <c r="AQ24" s="366">
        <f t="shared" si="29"/>
        <v>2025</v>
      </c>
      <c r="AR24" s="393">
        <f t="shared" si="12"/>
        <v>9302</v>
      </c>
      <c r="AS24" s="393">
        <f t="shared" si="13"/>
        <v>4019</v>
      </c>
      <c r="AT24" s="397">
        <f t="shared" si="14"/>
        <v>3.4000000000000002E-2</v>
      </c>
      <c r="AU24" s="398">
        <f t="shared" si="47"/>
        <v>5027</v>
      </c>
      <c r="AV24" s="387">
        <f t="shared" si="15"/>
        <v>0.44900000000000001</v>
      </c>
      <c r="AW24" s="393">
        <f t="shared" si="16"/>
        <v>1149</v>
      </c>
      <c r="AX24" s="397"/>
      <c r="AY24" s="399"/>
      <c r="AZ24" s="393">
        <f t="shared" si="30"/>
        <v>19497</v>
      </c>
      <c r="BA24" s="381"/>
      <c r="BB24" s="393">
        <v>0</v>
      </c>
      <c r="BC24" s="393">
        <v>0</v>
      </c>
      <c r="BD24" s="400">
        <f t="shared" si="31"/>
        <v>0</v>
      </c>
      <c r="BE24" s="393">
        <f t="shared" si="17"/>
        <v>19497</v>
      </c>
      <c r="BH24" s="366">
        <f t="shared" si="32"/>
        <v>2025</v>
      </c>
      <c r="BI24" s="393">
        <v>0</v>
      </c>
      <c r="BJ24" s="369">
        <f t="shared" si="18"/>
        <v>2559</v>
      </c>
      <c r="BK24" s="401">
        <f t="shared" si="19"/>
        <v>8.7189999999999994</v>
      </c>
      <c r="BL24" s="393">
        <f t="shared" si="44"/>
        <v>22312</v>
      </c>
      <c r="BM24" s="401">
        <f t="shared" si="20"/>
        <v>0.20699999999999999</v>
      </c>
      <c r="BN24" s="398">
        <f t="shared" si="48"/>
        <v>30608</v>
      </c>
      <c r="BO24" s="402"/>
      <c r="BP24" s="393">
        <f t="shared" si="21"/>
        <v>52920</v>
      </c>
      <c r="BR24" s="393">
        <f t="shared" si="49"/>
        <v>0</v>
      </c>
      <c r="BS24" s="393"/>
      <c r="BT24" s="393">
        <f t="shared" si="33"/>
        <v>52920</v>
      </c>
      <c r="BW24" s="366">
        <f t="shared" si="34"/>
        <v>2025</v>
      </c>
      <c r="BX24" s="393">
        <f t="shared" si="22"/>
        <v>9302</v>
      </c>
      <c r="BY24" s="369">
        <f t="shared" si="35"/>
        <v>4019</v>
      </c>
      <c r="BZ24" s="403">
        <f t="shared" si="36"/>
        <v>5027</v>
      </c>
      <c r="CA24" s="393">
        <f t="shared" si="37"/>
        <v>18348</v>
      </c>
      <c r="CC24" s="393">
        <f t="shared" si="38"/>
        <v>0</v>
      </c>
      <c r="CD24" s="393">
        <f t="shared" si="38"/>
        <v>0</v>
      </c>
      <c r="CE24" s="393">
        <f t="shared" si="39"/>
        <v>0</v>
      </c>
      <c r="CF24" s="393"/>
      <c r="CG24" s="393">
        <f t="shared" si="45"/>
        <v>18348</v>
      </c>
      <c r="DB24" s="333">
        <f>$J17</f>
        <v>4</v>
      </c>
    </row>
    <row r="25" spans="1:106">
      <c r="A25" s="187" t="s">
        <v>106</v>
      </c>
      <c r="C25" s="356">
        <f>+'Gas Input Table Summary'!$D$17</f>
        <v>0</v>
      </c>
      <c r="E25" s="193" t="s">
        <v>102</v>
      </c>
      <c r="F25" s="197">
        <f>+ROUND(F32/F30,3)</f>
        <v>12.667999999999999</v>
      </c>
      <c r="G25" s="197"/>
      <c r="H25" s="197"/>
      <c r="J25" s="333">
        <f t="shared" si="23"/>
        <v>12</v>
      </c>
      <c r="L25" s="366">
        <f t="shared" si="24"/>
        <v>2026</v>
      </c>
      <c r="M25" s="386">
        <f t="shared" si="46"/>
        <v>2559</v>
      </c>
      <c r="N25" s="387">
        <f t="shared" si="40"/>
        <v>3.762</v>
      </c>
      <c r="O25" s="388">
        <f t="shared" si="0"/>
        <v>9627</v>
      </c>
      <c r="P25" s="387">
        <f t="shared" si="1"/>
        <v>0</v>
      </c>
      <c r="Q25" s="389">
        <f t="shared" si="25"/>
        <v>0</v>
      </c>
      <c r="R25" s="390">
        <f t="shared" si="2"/>
        <v>9627</v>
      </c>
      <c r="S25" s="372">
        <f t="shared" si="3"/>
        <v>25.6</v>
      </c>
      <c r="T25" s="389">
        <f t="shared" si="41"/>
        <v>159</v>
      </c>
      <c r="U25" s="391">
        <f t="shared" si="42"/>
        <v>4070</v>
      </c>
      <c r="V25" s="386">
        <f t="shared" si="26"/>
        <v>13697</v>
      </c>
      <c r="W25" s="392">
        <f t="shared" si="4"/>
        <v>2.6349999999999998</v>
      </c>
      <c r="X25" s="393">
        <f t="shared" si="5"/>
        <v>4383</v>
      </c>
      <c r="Y25" s="393">
        <v>0</v>
      </c>
      <c r="Z25" s="393">
        <v>0</v>
      </c>
      <c r="AA25" s="389">
        <f t="shared" si="6"/>
        <v>4383</v>
      </c>
      <c r="AB25" s="393">
        <f t="shared" si="7"/>
        <v>9314</v>
      </c>
      <c r="AE25" s="366">
        <f t="shared" si="27"/>
        <v>2026</v>
      </c>
      <c r="AF25" s="393">
        <f t="shared" si="8"/>
        <v>9627</v>
      </c>
      <c r="AG25" s="368">
        <f t="shared" si="9"/>
        <v>4070</v>
      </c>
      <c r="AH25" s="393">
        <f t="shared" si="43"/>
        <v>13697</v>
      </c>
      <c r="AJ25" s="394">
        <f t="shared" si="28"/>
        <v>0</v>
      </c>
      <c r="AK25" s="394">
        <f t="shared" si="28"/>
        <v>0</v>
      </c>
      <c r="AL25" s="395">
        <f t="shared" si="10"/>
        <v>0</v>
      </c>
      <c r="AN25" s="396">
        <f t="shared" si="11"/>
        <v>13697</v>
      </c>
      <c r="AQ25" s="366">
        <f t="shared" si="29"/>
        <v>2026</v>
      </c>
      <c r="AR25" s="393">
        <f t="shared" si="12"/>
        <v>9627</v>
      </c>
      <c r="AS25" s="393">
        <f t="shared" si="13"/>
        <v>4070</v>
      </c>
      <c r="AT25" s="397">
        <f t="shared" si="14"/>
        <v>3.5000000000000003E-2</v>
      </c>
      <c r="AU25" s="398">
        <f t="shared" si="47"/>
        <v>5175</v>
      </c>
      <c r="AV25" s="387">
        <f t="shared" si="15"/>
        <v>0.46</v>
      </c>
      <c r="AW25" s="393">
        <f t="shared" si="16"/>
        <v>1177</v>
      </c>
      <c r="AX25" s="397"/>
      <c r="AY25" s="399"/>
      <c r="AZ25" s="393">
        <f t="shared" si="30"/>
        <v>20049</v>
      </c>
      <c r="BA25" s="381"/>
      <c r="BB25" s="393">
        <v>0</v>
      </c>
      <c r="BC25" s="393">
        <v>0</v>
      </c>
      <c r="BD25" s="400">
        <f t="shared" si="31"/>
        <v>0</v>
      </c>
      <c r="BE25" s="393">
        <f t="shared" si="17"/>
        <v>20049</v>
      </c>
      <c r="BH25" s="366">
        <f t="shared" si="32"/>
        <v>2026</v>
      </c>
      <c r="BI25" s="393">
        <v>0</v>
      </c>
      <c r="BJ25" s="369">
        <f t="shared" si="18"/>
        <v>2559</v>
      </c>
      <c r="BK25" s="401">
        <f t="shared" si="19"/>
        <v>9.0239999999999991</v>
      </c>
      <c r="BL25" s="393">
        <f t="shared" si="44"/>
        <v>23092</v>
      </c>
      <c r="BM25" s="401">
        <f t="shared" si="20"/>
        <v>0.215</v>
      </c>
      <c r="BN25" s="398">
        <f t="shared" si="48"/>
        <v>31791</v>
      </c>
      <c r="BO25" s="402"/>
      <c r="BP25" s="393">
        <f t="shared" si="21"/>
        <v>54883</v>
      </c>
      <c r="BR25" s="393">
        <f t="shared" si="49"/>
        <v>0</v>
      </c>
      <c r="BS25" s="393"/>
      <c r="BT25" s="393">
        <f t="shared" si="33"/>
        <v>54883</v>
      </c>
      <c r="BW25" s="366">
        <f t="shared" si="34"/>
        <v>2026</v>
      </c>
      <c r="BX25" s="393">
        <f t="shared" si="22"/>
        <v>9627</v>
      </c>
      <c r="BY25" s="369">
        <f t="shared" si="35"/>
        <v>4070</v>
      </c>
      <c r="BZ25" s="403">
        <f t="shared" si="36"/>
        <v>5175</v>
      </c>
      <c r="CA25" s="393">
        <f t="shared" si="37"/>
        <v>18872</v>
      </c>
      <c r="CC25" s="393">
        <f t="shared" si="38"/>
        <v>0</v>
      </c>
      <c r="CD25" s="393">
        <f t="shared" si="38"/>
        <v>0</v>
      </c>
      <c r="CE25" s="393">
        <f t="shared" si="39"/>
        <v>0</v>
      </c>
      <c r="CF25" s="393"/>
      <c r="CG25" s="393">
        <f t="shared" si="45"/>
        <v>18872</v>
      </c>
      <c r="DB25" s="333"/>
    </row>
    <row r="26" spans="1:106">
      <c r="A26" s="185" t="s">
        <v>18</v>
      </c>
      <c r="C26" s="358">
        <f>+'Gas Input Table Summary'!$D$18</f>
        <v>0</v>
      </c>
      <c r="F26" s="368"/>
      <c r="G26" s="368"/>
      <c r="H26" s="368"/>
      <c r="J26" s="333">
        <f t="shared" si="23"/>
        <v>13</v>
      </c>
      <c r="L26" s="366">
        <f t="shared" si="24"/>
        <v>2027</v>
      </c>
      <c r="M26" s="386">
        <f t="shared" si="46"/>
        <v>2559</v>
      </c>
      <c r="N26" s="387">
        <f t="shared" si="40"/>
        <v>3.8940000000000001</v>
      </c>
      <c r="O26" s="388">
        <f t="shared" si="0"/>
        <v>9965</v>
      </c>
      <c r="P26" s="387">
        <f t="shared" si="1"/>
        <v>0</v>
      </c>
      <c r="Q26" s="389">
        <f t="shared" si="25"/>
        <v>0</v>
      </c>
      <c r="R26" s="390">
        <f t="shared" si="2"/>
        <v>9965</v>
      </c>
      <c r="S26" s="372">
        <f t="shared" si="3"/>
        <v>25.6</v>
      </c>
      <c r="T26" s="389">
        <f t="shared" si="41"/>
        <v>160</v>
      </c>
      <c r="U26" s="391">
        <f t="shared" si="42"/>
        <v>4096</v>
      </c>
      <c r="V26" s="386">
        <f t="shared" si="26"/>
        <v>14061</v>
      </c>
      <c r="W26" s="392">
        <f t="shared" si="4"/>
        <v>2.7280000000000002</v>
      </c>
      <c r="X26" s="393">
        <f t="shared" si="5"/>
        <v>4538</v>
      </c>
      <c r="Y26" s="393">
        <v>0</v>
      </c>
      <c r="Z26" s="393">
        <v>0</v>
      </c>
      <c r="AA26" s="389">
        <f t="shared" si="6"/>
        <v>4538</v>
      </c>
      <c r="AB26" s="393">
        <f t="shared" si="7"/>
        <v>9523</v>
      </c>
      <c r="AE26" s="366">
        <f t="shared" si="27"/>
        <v>2027</v>
      </c>
      <c r="AF26" s="393">
        <f t="shared" si="8"/>
        <v>9965</v>
      </c>
      <c r="AG26" s="368">
        <f t="shared" si="9"/>
        <v>4096</v>
      </c>
      <c r="AH26" s="393">
        <f t="shared" si="43"/>
        <v>14061</v>
      </c>
      <c r="AJ26" s="394">
        <f t="shared" si="28"/>
        <v>0</v>
      </c>
      <c r="AK26" s="394">
        <f t="shared" si="28"/>
        <v>0</v>
      </c>
      <c r="AL26" s="395">
        <f t="shared" si="10"/>
        <v>0</v>
      </c>
      <c r="AN26" s="396">
        <f t="shared" si="11"/>
        <v>14061</v>
      </c>
      <c r="AQ26" s="366">
        <f t="shared" si="29"/>
        <v>2027</v>
      </c>
      <c r="AR26" s="393">
        <f t="shared" si="12"/>
        <v>9965</v>
      </c>
      <c r="AS26" s="393">
        <f t="shared" si="13"/>
        <v>4096</v>
      </c>
      <c r="AT26" s="397">
        <f t="shared" si="14"/>
        <v>3.5999999999999997E-2</v>
      </c>
      <c r="AU26" s="398">
        <f t="shared" si="47"/>
        <v>5323</v>
      </c>
      <c r="AV26" s="387">
        <f t="shared" si="15"/>
        <v>0.47</v>
      </c>
      <c r="AW26" s="393">
        <f t="shared" si="16"/>
        <v>1203</v>
      </c>
      <c r="AX26" s="397"/>
      <c r="AY26" s="399"/>
      <c r="AZ26" s="393">
        <f t="shared" si="30"/>
        <v>20587</v>
      </c>
      <c r="BA26" s="381"/>
      <c r="BB26" s="393">
        <v>0</v>
      </c>
      <c r="BC26" s="393">
        <v>0</v>
      </c>
      <c r="BD26" s="400">
        <f t="shared" si="31"/>
        <v>0</v>
      </c>
      <c r="BE26" s="393">
        <f t="shared" si="17"/>
        <v>20587</v>
      </c>
      <c r="BH26" s="366">
        <f t="shared" si="32"/>
        <v>2027</v>
      </c>
      <c r="BI26" s="393">
        <v>0</v>
      </c>
      <c r="BJ26" s="369">
        <f t="shared" si="18"/>
        <v>2559</v>
      </c>
      <c r="BK26" s="401">
        <f t="shared" si="19"/>
        <v>9.34</v>
      </c>
      <c r="BL26" s="393">
        <f t="shared" si="44"/>
        <v>23901</v>
      </c>
      <c r="BM26" s="401">
        <f t="shared" si="20"/>
        <v>0.222</v>
      </c>
      <c r="BN26" s="398">
        <f t="shared" si="48"/>
        <v>32826</v>
      </c>
      <c r="BO26" s="402"/>
      <c r="BP26" s="393">
        <f t="shared" si="21"/>
        <v>56727</v>
      </c>
      <c r="BR26" s="393">
        <f t="shared" si="49"/>
        <v>0</v>
      </c>
      <c r="BS26" s="393"/>
      <c r="BT26" s="393">
        <f t="shared" si="33"/>
        <v>56727</v>
      </c>
      <c r="BW26" s="366">
        <f t="shared" si="34"/>
        <v>2027</v>
      </c>
      <c r="BX26" s="393">
        <f t="shared" si="22"/>
        <v>9965</v>
      </c>
      <c r="BY26" s="369">
        <f t="shared" si="35"/>
        <v>4096</v>
      </c>
      <c r="BZ26" s="403">
        <f t="shared" si="36"/>
        <v>5323</v>
      </c>
      <c r="CA26" s="393">
        <f t="shared" si="37"/>
        <v>19384</v>
      </c>
      <c r="CC26" s="393">
        <f t="shared" si="38"/>
        <v>0</v>
      </c>
      <c r="CD26" s="393">
        <f t="shared" si="38"/>
        <v>0</v>
      </c>
      <c r="CE26" s="393">
        <f t="shared" si="39"/>
        <v>0</v>
      </c>
      <c r="CF26" s="393"/>
      <c r="CG26" s="393">
        <f t="shared" si="45"/>
        <v>19384</v>
      </c>
      <c r="DB26" s="333"/>
    </row>
    <row r="27" spans="1:106">
      <c r="A27" s="185"/>
      <c r="C27" s="358"/>
      <c r="E27" s="185" t="s">
        <v>70</v>
      </c>
      <c r="F27" s="369">
        <f>+'Database Inputs'!H11</f>
        <v>732</v>
      </c>
      <c r="G27" s="369"/>
      <c r="H27" s="369"/>
      <c r="J27" s="333">
        <f t="shared" si="23"/>
        <v>14</v>
      </c>
      <c r="L27" s="366">
        <f t="shared" si="24"/>
        <v>2028</v>
      </c>
      <c r="M27" s="386">
        <f t="shared" si="46"/>
        <v>2559</v>
      </c>
      <c r="N27" s="387">
        <f t="shared" si="40"/>
        <v>4.03</v>
      </c>
      <c r="O27" s="388">
        <f t="shared" si="0"/>
        <v>10313</v>
      </c>
      <c r="P27" s="387">
        <f t="shared" si="1"/>
        <v>0</v>
      </c>
      <c r="Q27" s="389">
        <f t="shared" si="25"/>
        <v>0</v>
      </c>
      <c r="R27" s="390">
        <f t="shared" si="2"/>
        <v>10313</v>
      </c>
      <c r="S27" s="372">
        <f t="shared" si="3"/>
        <v>25.6</v>
      </c>
      <c r="T27" s="389">
        <f t="shared" si="41"/>
        <v>162</v>
      </c>
      <c r="U27" s="391">
        <f t="shared" si="42"/>
        <v>4147</v>
      </c>
      <c r="V27" s="386">
        <f t="shared" si="26"/>
        <v>14460</v>
      </c>
      <c r="W27" s="392">
        <f t="shared" si="4"/>
        <v>2.823</v>
      </c>
      <c r="X27" s="393">
        <f t="shared" si="5"/>
        <v>4696</v>
      </c>
      <c r="Y27" s="393">
        <v>0</v>
      </c>
      <c r="Z27" s="393">
        <v>0</v>
      </c>
      <c r="AA27" s="389">
        <f t="shared" si="6"/>
        <v>4696</v>
      </c>
      <c r="AB27" s="393">
        <f t="shared" si="7"/>
        <v>9764</v>
      </c>
      <c r="AE27" s="366">
        <f t="shared" si="27"/>
        <v>2028</v>
      </c>
      <c r="AF27" s="393">
        <f t="shared" si="8"/>
        <v>10313</v>
      </c>
      <c r="AG27" s="368">
        <f t="shared" si="9"/>
        <v>4147</v>
      </c>
      <c r="AH27" s="393">
        <f t="shared" si="43"/>
        <v>14460</v>
      </c>
      <c r="AJ27" s="394">
        <f t="shared" si="28"/>
        <v>0</v>
      </c>
      <c r="AK27" s="394">
        <f t="shared" si="28"/>
        <v>0</v>
      </c>
      <c r="AL27" s="395">
        <f t="shared" si="10"/>
        <v>0</v>
      </c>
      <c r="AN27" s="396">
        <f t="shared" si="11"/>
        <v>14460</v>
      </c>
      <c r="AQ27" s="366">
        <f t="shared" si="29"/>
        <v>2028</v>
      </c>
      <c r="AR27" s="393">
        <f t="shared" si="12"/>
        <v>10313</v>
      </c>
      <c r="AS27" s="393">
        <f t="shared" si="13"/>
        <v>4147</v>
      </c>
      <c r="AT27" s="397">
        <f t="shared" si="14"/>
        <v>3.6999999999999998E-2</v>
      </c>
      <c r="AU27" s="398">
        <f t="shared" si="47"/>
        <v>5471</v>
      </c>
      <c r="AV27" s="387">
        <f t="shared" si="15"/>
        <v>0.48099999999999998</v>
      </c>
      <c r="AW27" s="393">
        <f t="shared" si="16"/>
        <v>1231</v>
      </c>
      <c r="AX27" s="397"/>
      <c r="AY27" s="399"/>
      <c r="AZ27" s="393">
        <f t="shared" si="30"/>
        <v>21162</v>
      </c>
      <c r="BA27" s="381"/>
      <c r="BB27" s="393">
        <v>0</v>
      </c>
      <c r="BC27" s="393">
        <v>0</v>
      </c>
      <c r="BD27" s="400">
        <f t="shared" si="31"/>
        <v>0</v>
      </c>
      <c r="BE27" s="393">
        <f t="shared" si="17"/>
        <v>21162</v>
      </c>
      <c r="BH27" s="366">
        <f t="shared" si="32"/>
        <v>2028</v>
      </c>
      <c r="BI27" s="393">
        <v>0</v>
      </c>
      <c r="BJ27" s="369">
        <f t="shared" si="18"/>
        <v>2559</v>
      </c>
      <c r="BK27" s="401">
        <f t="shared" si="19"/>
        <v>9.6669999999999998</v>
      </c>
      <c r="BL27" s="393">
        <f t="shared" si="44"/>
        <v>24738</v>
      </c>
      <c r="BM27" s="401">
        <f t="shared" si="20"/>
        <v>0.23</v>
      </c>
      <c r="BN27" s="398">
        <f t="shared" si="48"/>
        <v>34009</v>
      </c>
      <c r="BO27" s="402"/>
      <c r="BP27" s="393">
        <f t="shared" si="21"/>
        <v>58747</v>
      </c>
      <c r="BR27" s="393">
        <f t="shared" si="49"/>
        <v>0</v>
      </c>
      <c r="BS27" s="393"/>
      <c r="BT27" s="393">
        <f t="shared" si="33"/>
        <v>58747</v>
      </c>
      <c r="BW27" s="366">
        <f t="shared" si="34"/>
        <v>2028</v>
      </c>
      <c r="BX27" s="393">
        <f t="shared" si="22"/>
        <v>10313</v>
      </c>
      <c r="BY27" s="369">
        <f t="shared" si="35"/>
        <v>4147</v>
      </c>
      <c r="BZ27" s="403">
        <f t="shared" si="36"/>
        <v>5471</v>
      </c>
      <c r="CA27" s="393">
        <f t="shared" si="37"/>
        <v>19931</v>
      </c>
      <c r="CC27" s="393">
        <f t="shared" si="38"/>
        <v>0</v>
      </c>
      <c r="CD27" s="393">
        <f t="shared" si="38"/>
        <v>0</v>
      </c>
      <c r="CE27" s="393">
        <f t="shared" si="39"/>
        <v>0</v>
      </c>
      <c r="CF27" s="393"/>
      <c r="CG27" s="393">
        <f t="shared" si="45"/>
        <v>19931</v>
      </c>
      <c r="DB27" s="333"/>
    </row>
    <row r="28" spans="1:106">
      <c r="A28" s="185" t="s">
        <v>71</v>
      </c>
      <c r="C28" s="365">
        <f>+'Gas Input Table Summary'!$D$19</f>
        <v>2.18E-2</v>
      </c>
      <c r="E28" s="185" t="s">
        <v>72</v>
      </c>
      <c r="F28" s="369">
        <v>0</v>
      </c>
      <c r="G28" s="369"/>
      <c r="H28" s="369"/>
      <c r="J28" s="333">
        <f t="shared" si="23"/>
        <v>15</v>
      </c>
      <c r="L28" s="366">
        <f t="shared" si="24"/>
        <v>2029</v>
      </c>
      <c r="M28" s="386">
        <f t="shared" si="46"/>
        <v>2559</v>
      </c>
      <c r="N28" s="387">
        <f t="shared" si="40"/>
        <v>4.1710000000000003</v>
      </c>
      <c r="O28" s="388">
        <f t="shared" si="0"/>
        <v>10674</v>
      </c>
      <c r="P28" s="387">
        <f t="shared" si="1"/>
        <v>0</v>
      </c>
      <c r="Q28" s="389">
        <f t="shared" si="25"/>
        <v>0</v>
      </c>
      <c r="R28" s="390">
        <f t="shared" si="2"/>
        <v>10674</v>
      </c>
      <c r="S28" s="372">
        <f t="shared" si="3"/>
        <v>25.6</v>
      </c>
      <c r="T28" s="389">
        <f t="shared" si="41"/>
        <v>163</v>
      </c>
      <c r="U28" s="391">
        <f t="shared" si="42"/>
        <v>4173</v>
      </c>
      <c r="V28" s="386">
        <f t="shared" si="26"/>
        <v>14847</v>
      </c>
      <c r="W28" s="392">
        <f t="shared" si="4"/>
        <v>2.9220000000000002</v>
      </c>
      <c r="X28" s="393">
        <f t="shared" si="5"/>
        <v>4860</v>
      </c>
      <c r="Y28" s="393">
        <v>0</v>
      </c>
      <c r="Z28" s="393">
        <v>0</v>
      </c>
      <c r="AA28" s="389">
        <f t="shared" si="6"/>
        <v>4860</v>
      </c>
      <c r="AB28" s="393">
        <f t="shared" si="7"/>
        <v>9987</v>
      </c>
      <c r="AE28" s="366">
        <f t="shared" si="27"/>
        <v>2029</v>
      </c>
      <c r="AF28" s="393">
        <f t="shared" si="8"/>
        <v>10674</v>
      </c>
      <c r="AG28" s="368">
        <f t="shared" si="9"/>
        <v>4173</v>
      </c>
      <c r="AH28" s="393">
        <f t="shared" si="43"/>
        <v>14847</v>
      </c>
      <c r="AJ28" s="394">
        <f t="shared" si="28"/>
        <v>0</v>
      </c>
      <c r="AK28" s="394">
        <f t="shared" si="28"/>
        <v>0</v>
      </c>
      <c r="AL28" s="395">
        <f t="shared" si="10"/>
        <v>0</v>
      </c>
      <c r="AN28" s="396">
        <f t="shared" si="11"/>
        <v>14847</v>
      </c>
      <c r="AQ28" s="366">
        <f t="shared" si="29"/>
        <v>2029</v>
      </c>
      <c r="AR28" s="393">
        <f t="shared" si="12"/>
        <v>10674</v>
      </c>
      <c r="AS28" s="393">
        <f t="shared" si="13"/>
        <v>4173</v>
      </c>
      <c r="AT28" s="397">
        <f t="shared" si="14"/>
        <v>3.7999999999999999E-2</v>
      </c>
      <c r="AU28" s="398">
        <f t="shared" si="47"/>
        <v>5619</v>
      </c>
      <c r="AV28" s="387">
        <f t="shared" si="15"/>
        <v>0.49199999999999999</v>
      </c>
      <c r="AW28" s="393">
        <f t="shared" si="16"/>
        <v>1259</v>
      </c>
      <c r="AX28" s="397"/>
      <c r="AY28" s="399"/>
      <c r="AZ28" s="393">
        <f t="shared" si="30"/>
        <v>21725</v>
      </c>
      <c r="BA28" s="381"/>
      <c r="BB28" s="393">
        <v>0</v>
      </c>
      <c r="BC28" s="393">
        <v>0</v>
      </c>
      <c r="BD28" s="400">
        <f t="shared" si="31"/>
        <v>0</v>
      </c>
      <c r="BE28" s="393">
        <f t="shared" si="17"/>
        <v>21725</v>
      </c>
      <c r="BH28" s="366">
        <f t="shared" si="32"/>
        <v>2029</v>
      </c>
      <c r="BI28" s="393">
        <v>0</v>
      </c>
      <c r="BJ28" s="369">
        <f t="shared" si="18"/>
        <v>2559</v>
      </c>
      <c r="BK28" s="401">
        <f t="shared" si="19"/>
        <v>10.005000000000001</v>
      </c>
      <c r="BL28" s="393">
        <f t="shared" si="44"/>
        <v>25603</v>
      </c>
      <c r="BM28" s="401">
        <f t="shared" si="20"/>
        <v>0.23799999999999999</v>
      </c>
      <c r="BN28" s="398">
        <f t="shared" si="48"/>
        <v>35192</v>
      </c>
      <c r="BO28" s="402"/>
      <c r="BP28" s="393">
        <f t="shared" si="21"/>
        <v>60795</v>
      </c>
      <c r="BR28" s="393">
        <f t="shared" si="49"/>
        <v>0</v>
      </c>
      <c r="BS28" s="393"/>
      <c r="BT28" s="393">
        <f t="shared" si="33"/>
        <v>60795</v>
      </c>
      <c r="BW28" s="366">
        <f t="shared" si="34"/>
        <v>2029</v>
      </c>
      <c r="BX28" s="393">
        <f t="shared" si="22"/>
        <v>10674</v>
      </c>
      <c r="BY28" s="369">
        <f t="shared" si="35"/>
        <v>4173</v>
      </c>
      <c r="BZ28" s="403">
        <f t="shared" si="36"/>
        <v>5619</v>
      </c>
      <c r="CA28" s="393">
        <f t="shared" si="37"/>
        <v>20466</v>
      </c>
      <c r="CC28" s="393">
        <f t="shared" si="38"/>
        <v>0</v>
      </c>
      <c r="CD28" s="393">
        <f t="shared" si="38"/>
        <v>0</v>
      </c>
      <c r="CE28" s="393">
        <f t="shared" si="39"/>
        <v>0</v>
      </c>
      <c r="CF28" s="393"/>
      <c r="CG28" s="393">
        <f t="shared" si="45"/>
        <v>20466</v>
      </c>
      <c r="DB28" s="333"/>
    </row>
    <row r="29" spans="1:106">
      <c r="A29" s="185" t="s">
        <v>47</v>
      </c>
      <c r="C29" s="358">
        <f>+'Gas Input Table Summary'!$D$20</f>
        <v>3.5000000000000003E-2</v>
      </c>
      <c r="E29" s="185"/>
      <c r="F29" s="369"/>
      <c r="G29" s="369"/>
      <c r="H29" s="369"/>
      <c r="J29" s="333">
        <f t="shared" si="23"/>
        <v>16</v>
      </c>
      <c r="L29" s="366">
        <f t="shared" si="24"/>
        <v>2030</v>
      </c>
      <c r="M29" s="386">
        <f t="shared" si="46"/>
        <v>2559</v>
      </c>
      <c r="N29" s="387">
        <f t="shared" si="40"/>
        <v>4.3170000000000002</v>
      </c>
      <c r="O29" s="388">
        <f t="shared" si="0"/>
        <v>11047</v>
      </c>
      <c r="P29" s="387">
        <f t="shared" si="1"/>
        <v>0</v>
      </c>
      <c r="Q29" s="389">
        <f t="shared" si="25"/>
        <v>0</v>
      </c>
      <c r="R29" s="390">
        <f t="shared" si="2"/>
        <v>11047</v>
      </c>
      <c r="S29" s="372">
        <f t="shared" si="3"/>
        <v>25.6</v>
      </c>
      <c r="T29" s="389">
        <f t="shared" si="41"/>
        <v>165</v>
      </c>
      <c r="U29" s="391">
        <f t="shared" si="42"/>
        <v>4224</v>
      </c>
      <c r="V29" s="386">
        <f t="shared" si="26"/>
        <v>15271</v>
      </c>
      <c r="W29" s="392">
        <f t="shared" si="4"/>
        <v>3.024</v>
      </c>
      <c r="X29" s="393">
        <f t="shared" si="5"/>
        <v>5030</v>
      </c>
      <c r="Y29" s="409">
        <v>0</v>
      </c>
      <c r="Z29" s="409">
        <v>0</v>
      </c>
      <c r="AA29" s="410">
        <f t="shared" si="6"/>
        <v>5030</v>
      </c>
      <c r="AB29" s="409">
        <f t="shared" si="7"/>
        <v>10241</v>
      </c>
      <c r="AE29" s="366">
        <f t="shared" si="27"/>
        <v>2030</v>
      </c>
      <c r="AF29" s="393">
        <f t="shared" si="8"/>
        <v>11047</v>
      </c>
      <c r="AG29" s="368">
        <f t="shared" si="9"/>
        <v>4224</v>
      </c>
      <c r="AH29" s="393">
        <f t="shared" si="43"/>
        <v>15271</v>
      </c>
      <c r="AJ29" s="394">
        <f t="shared" si="28"/>
        <v>0</v>
      </c>
      <c r="AK29" s="394">
        <f t="shared" si="28"/>
        <v>0</v>
      </c>
      <c r="AL29" s="395">
        <f t="shared" si="10"/>
        <v>0</v>
      </c>
      <c r="AN29" s="396">
        <f t="shared" si="11"/>
        <v>15271</v>
      </c>
      <c r="AQ29" s="366">
        <f t="shared" si="29"/>
        <v>2030</v>
      </c>
      <c r="AR29" s="409">
        <f t="shared" si="12"/>
        <v>11047</v>
      </c>
      <c r="AS29" s="393">
        <f t="shared" si="13"/>
        <v>4224</v>
      </c>
      <c r="AT29" s="397">
        <f t="shared" si="14"/>
        <v>0.04</v>
      </c>
      <c r="AU29" s="398">
        <f t="shared" si="47"/>
        <v>5915</v>
      </c>
      <c r="AV29" s="387">
        <f t="shared" si="15"/>
        <v>0.504</v>
      </c>
      <c r="AW29" s="393">
        <f t="shared" si="16"/>
        <v>1290</v>
      </c>
      <c r="AX29" s="397"/>
      <c r="AY29" s="399"/>
      <c r="AZ29" s="409">
        <f t="shared" si="30"/>
        <v>22476</v>
      </c>
      <c r="BA29" s="381"/>
      <c r="BB29" s="409">
        <v>0</v>
      </c>
      <c r="BC29" s="393">
        <v>0</v>
      </c>
      <c r="BD29" s="400">
        <f t="shared" si="31"/>
        <v>0</v>
      </c>
      <c r="BE29" s="409">
        <f t="shared" si="17"/>
        <v>22476</v>
      </c>
      <c r="BH29" s="366">
        <f t="shared" si="32"/>
        <v>2030</v>
      </c>
      <c r="BI29" s="393">
        <v>0</v>
      </c>
      <c r="BJ29" s="369">
        <f t="shared" si="18"/>
        <v>2559</v>
      </c>
      <c r="BK29" s="401">
        <f t="shared" si="19"/>
        <v>10.355</v>
      </c>
      <c r="BL29" s="393">
        <f t="shared" si="44"/>
        <v>26498</v>
      </c>
      <c r="BM29" s="401">
        <f t="shared" si="20"/>
        <v>0.246</v>
      </c>
      <c r="BN29" s="398">
        <f t="shared" si="48"/>
        <v>36375</v>
      </c>
      <c r="BO29" s="402"/>
      <c r="BP29" s="393">
        <f t="shared" si="21"/>
        <v>62873</v>
      </c>
      <c r="BR29" s="393">
        <f t="shared" si="49"/>
        <v>0</v>
      </c>
      <c r="BS29" s="393"/>
      <c r="BT29" s="393">
        <f t="shared" si="33"/>
        <v>62873</v>
      </c>
      <c r="BW29" s="366">
        <f t="shared" si="34"/>
        <v>2030</v>
      </c>
      <c r="BX29" s="393">
        <f t="shared" si="22"/>
        <v>11047</v>
      </c>
      <c r="BY29" s="369">
        <f t="shared" si="35"/>
        <v>4224</v>
      </c>
      <c r="BZ29" s="403">
        <f t="shared" si="36"/>
        <v>5915</v>
      </c>
      <c r="CA29" s="393">
        <f t="shared" si="37"/>
        <v>21186</v>
      </c>
      <c r="CC29" s="393">
        <f t="shared" si="38"/>
        <v>0</v>
      </c>
      <c r="CD29" s="393">
        <f t="shared" si="38"/>
        <v>0</v>
      </c>
      <c r="CE29" s="393">
        <f t="shared" si="39"/>
        <v>0</v>
      </c>
      <c r="CF29" s="393"/>
      <c r="CG29" s="393">
        <f t="shared" si="45"/>
        <v>21186</v>
      </c>
      <c r="DB29" s="333"/>
    </row>
    <row r="30" spans="1:106">
      <c r="E30" s="185" t="s">
        <v>73</v>
      </c>
      <c r="F30" s="196">
        <f>+'Total Program Inputs'!C12</f>
        <v>202</v>
      </c>
      <c r="G30" s="196"/>
      <c r="H30" s="196"/>
      <c r="J30" s="333">
        <f t="shared" si="23"/>
        <v>17</v>
      </c>
      <c r="L30" s="366">
        <f t="shared" si="24"/>
        <v>2031</v>
      </c>
      <c r="M30" s="386">
        <f t="shared" si="46"/>
        <v>2559</v>
      </c>
      <c r="N30" s="387">
        <f t="shared" si="40"/>
        <v>4.468</v>
      </c>
      <c r="O30" s="388">
        <f t="shared" si="0"/>
        <v>11434</v>
      </c>
      <c r="P30" s="387">
        <f t="shared" si="1"/>
        <v>0</v>
      </c>
      <c r="Q30" s="389">
        <f t="shared" si="25"/>
        <v>0</v>
      </c>
      <c r="R30" s="390">
        <f t="shared" si="2"/>
        <v>11434</v>
      </c>
      <c r="S30" s="372">
        <f t="shared" si="3"/>
        <v>25.6</v>
      </c>
      <c r="T30" s="389">
        <f t="shared" si="41"/>
        <v>167</v>
      </c>
      <c r="U30" s="391">
        <f t="shared" si="42"/>
        <v>4275</v>
      </c>
      <c r="V30" s="386">
        <f t="shared" si="26"/>
        <v>15709</v>
      </c>
      <c r="W30" s="392">
        <f t="shared" si="4"/>
        <v>3.13</v>
      </c>
      <c r="X30" s="393">
        <f t="shared" si="5"/>
        <v>5206</v>
      </c>
      <c r="Y30" s="409">
        <v>0</v>
      </c>
      <c r="Z30" s="409">
        <v>0</v>
      </c>
      <c r="AA30" s="410">
        <f t="shared" si="6"/>
        <v>5206</v>
      </c>
      <c r="AB30" s="409">
        <f t="shared" si="7"/>
        <v>10503</v>
      </c>
      <c r="AE30" s="366">
        <f t="shared" si="27"/>
        <v>2031</v>
      </c>
      <c r="AF30" s="393">
        <f t="shared" si="8"/>
        <v>11434</v>
      </c>
      <c r="AG30" s="368">
        <f t="shared" si="9"/>
        <v>4275</v>
      </c>
      <c r="AH30" s="393">
        <f t="shared" si="43"/>
        <v>15709</v>
      </c>
      <c r="AJ30" s="394">
        <f t="shared" si="28"/>
        <v>0</v>
      </c>
      <c r="AK30" s="394">
        <f t="shared" si="28"/>
        <v>0</v>
      </c>
      <c r="AL30" s="395">
        <f t="shared" si="10"/>
        <v>0</v>
      </c>
      <c r="AN30" s="396">
        <f t="shared" si="11"/>
        <v>15709</v>
      </c>
      <c r="AQ30" s="366">
        <f t="shared" si="29"/>
        <v>2031</v>
      </c>
      <c r="AR30" s="409">
        <f t="shared" si="12"/>
        <v>11434</v>
      </c>
      <c r="AS30" s="393">
        <f t="shared" si="13"/>
        <v>4275</v>
      </c>
      <c r="AT30" s="397">
        <f t="shared" si="14"/>
        <v>4.1000000000000002E-2</v>
      </c>
      <c r="AU30" s="398">
        <f t="shared" si="47"/>
        <v>6062</v>
      </c>
      <c r="AV30" s="387">
        <f t="shared" si="15"/>
        <v>0.51500000000000001</v>
      </c>
      <c r="AW30" s="393">
        <f t="shared" si="16"/>
        <v>1318</v>
      </c>
      <c r="AX30" s="397"/>
      <c r="AY30" s="399"/>
      <c r="AZ30" s="409">
        <f t="shared" si="30"/>
        <v>23089</v>
      </c>
      <c r="BA30" s="381"/>
      <c r="BB30" s="409">
        <v>0</v>
      </c>
      <c r="BC30" s="393">
        <v>0</v>
      </c>
      <c r="BD30" s="400">
        <f t="shared" si="31"/>
        <v>0</v>
      </c>
      <c r="BE30" s="409">
        <f t="shared" si="17"/>
        <v>23089</v>
      </c>
      <c r="BH30" s="366">
        <f t="shared" si="32"/>
        <v>2031</v>
      </c>
      <c r="BI30" s="393">
        <v>0</v>
      </c>
      <c r="BJ30" s="369">
        <f t="shared" si="18"/>
        <v>2559</v>
      </c>
      <c r="BK30" s="401">
        <f t="shared" si="19"/>
        <v>10.718</v>
      </c>
      <c r="BL30" s="393">
        <f t="shared" si="44"/>
        <v>27427</v>
      </c>
      <c r="BM30" s="401">
        <f t="shared" si="20"/>
        <v>0.255</v>
      </c>
      <c r="BN30" s="398">
        <f t="shared" si="48"/>
        <v>37705</v>
      </c>
      <c r="BO30" s="402"/>
      <c r="BP30" s="393">
        <f t="shared" si="21"/>
        <v>65132</v>
      </c>
      <c r="BR30" s="393">
        <f t="shared" si="49"/>
        <v>0</v>
      </c>
      <c r="BS30" s="393"/>
      <c r="BT30" s="393">
        <f t="shared" si="33"/>
        <v>65132</v>
      </c>
      <c r="BW30" s="366">
        <f t="shared" si="34"/>
        <v>2031</v>
      </c>
      <c r="BX30" s="393">
        <f t="shared" si="22"/>
        <v>11434</v>
      </c>
      <c r="BY30" s="369">
        <f t="shared" si="35"/>
        <v>4275</v>
      </c>
      <c r="BZ30" s="403">
        <f t="shared" si="36"/>
        <v>6062</v>
      </c>
      <c r="CA30" s="393">
        <f t="shared" si="37"/>
        <v>21771</v>
      </c>
      <c r="CC30" s="393">
        <f t="shared" si="38"/>
        <v>0</v>
      </c>
      <c r="CD30" s="393">
        <f t="shared" si="38"/>
        <v>0</v>
      </c>
      <c r="CE30" s="393">
        <f t="shared" si="39"/>
        <v>0</v>
      </c>
      <c r="CF30" s="393"/>
      <c r="CG30" s="393">
        <f t="shared" si="45"/>
        <v>21771</v>
      </c>
      <c r="DB30" s="333">
        <f>$J18</f>
        <v>5</v>
      </c>
    </row>
    <row r="31" spans="1:106">
      <c r="A31" s="187" t="s">
        <v>74</v>
      </c>
      <c r="C31" s="361">
        <f>+'Gas Input Table Summary'!$D$21</f>
        <v>5.0999999999999997E-2</v>
      </c>
      <c r="F31" s="368"/>
      <c r="G31" s="368"/>
      <c r="H31" s="368"/>
      <c r="J31" s="333">
        <f t="shared" si="23"/>
        <v>18</v>
      </c>
      <c r="L31" s="366">
        <f t="shared" si="24"/>
        <v>2032</v>
      </c>
      <c r="M31" s="386">
        <f t="shared" si="46"/>
        <v>2559</v>
      </c>
      <c r="N31" s="387">
        <f t="shared" si="40"/>
        <v>4.625</v>
      </c>
      <c r="O31" s="388">
        <f t="shared" si="0"/>
        <v>11835</v>
      </c>
      <c r="P31" s="387">
        <f t="shared" si="1"/>
        <v>0</v>
      </c>
      <c r="Q31" s="389">
        <f t="shared" si="25"/>
        <v>0</v>
      </c>
      <c r="R31" s="390">
        <f t="shared" si="2"/>
        <v>11835</v>
      </c>
      <c r="S31" s="372">
        <f t="shared" si="3"/>
        <v>25.6</v>
      </c>
      <c r="T31" s="389">
        <f t="shared" si="41"/>
        <v>168</v>
      </c>
      <c r="U31" s="391">
        <f t="shared" si="42"/>
        <v>4301</v>
      </c>
      <c r="V31" s="386">
        <f t="shared" si="26"/>
        <v>16136</v>
      </c>
      <c r="W31" s="392">
        <f t="shared" si="4"/>
        <v>3.2389999999999999</v>
      </c>
      <c r="X31" s="393">
        <f t="shared" si="5"/>
        <v>5388</v>
      </c>
      <c r="Y31" s="409">
        <v>0</v>
      </c>
      <c r="Z31" s="409">
        <v>0</v>
      </c>
      <c r="AA31" s="410">
        <f t="shared" si="6"/>
        <v>5388</v>
      </c>
      <c r="AB31" s="409">
        <f t="shared" si="7"/>
        <v>10748</v>
      </c>
      <c r="AE31" s="366">
        <f t="shared" si="27"/>
        <v>2032</v>
      </c>
      <c r="AF31" s="393">
        <f t="shared" si="8"/>
        <v>11835</v>
      </c>
      <c r="AG31" s="368">
        <f t="shared" si="9"/>
        <v>4301</v>
      </c>
      <c r="AH31" s="393">
        <f t="shared" si="43"/>
        <v>16136</v>
      </c>
      <c r="AJ31" s="394">
        <f t="shared" si="28"/>
        <v>0</v>
      </c>
      <c r="AK31" s="394">
        <f t="shared" si="28"/>
        <v>0</v>
      </c>
      <c r="AL31" s="395">
        <f t="shared" si="10"/>
        <v>0</v>
      </c>
      <c r="AN31" s="396">
        <f t="shared" si="11"/>
        <v>16136</v>
      </c>
      <c r="AQ31" s="366">
        <f t="shared" si="29"/>
        <v>2032</v>
      </c>
      <c r="AR31" s="409">
        <f t="shared" si="12"/>
        <v>11835</v>
      </c>
      <c r="AS31" s="393">
        <f t="shared" si="13"/>
        <v>4301</v>
      </c>
      <c r="AT31" s="397">
        <f t="shared" si="14"/>
        <v>4.2999999999999997E-2</v>
      </c>
      <c r="AU31" s="398">
        <f t="shared" si="47"/>
        <v>6358</v>
      </c>
      <c r="AV31" s="387">
        <f t="shared" si="15"/>
        <v>0.52700000000000002</v>
      </c>
      <c r="AW31" s="393">
        <f t="shared" si="16"/>
        <v>1349</v>
      </c>
      <c r="AX31" s="397"/>
      <c r="AY31" s="399"/>
      <c r="AZ31" s="409">
        <f t="shared" si="30"/>
        <v>23843</v>
      </c>
      <c r="BA31" s="381"/>
      <c r="BB31" s="409">
        <v>0</v>
      </c>
      <c r="BC31" s="393">
        <v>0</v>
      </c>
      <c r="BD31" s="400">
        <f t="shared" si="31"/>
        <v>0</v>
      </c>
      <c r="BE31" s="409">
        <f t="shared" si="17"/>
        <v>23843</v>
      </c>
      <c r="BH31" s="366">
        <f t="shared" si="32"/>
        <v>2032</v>
      </c>
      <c r="BI31" s="393">
        <v>0</v>
      </c>
      <c r="BJ31" s="369">
        <f t="shared" si="18"/>
        <v>2559</v>
      </c>
      <c r="BK31" s="401">
        <f t="shared" si="19"/>
        <v>11.093</v>
      </c>
      <c r="BL31" s="393">
        <f t="shared" si="44"/>
        <v>28387</v>
      </c>
      <c r="BM31" s="401">
        <f t="shared" si="20"/>
        <v>0.26400000000000001</v>
      </c>
      <c r="BN31" s="398">
        <f t="shared" si="48"/>
        <v>39036</v>
      </c>
      <c r="BO31" s="402"/>
      <c r="BP31" s="393">
        <f t="shared" si="21"/>
        <v>67423</v>
      </c>
      <c r="BR31" s="393">
        <f t="shared" si="49"/>
        <v>0</v>
      </c>
      <c r="BS31" s="393"/>
      <c r="BT31" s="393">
        <f t="shared" si="33"/>
        <v>67423</v>
      </c>
      <c r="BW31" s="366">
        <f t="shared" si="34"/>
        <v>2032</v>
      </c>
      <c r="BX31" s="393">
        <f t="shared" si="22"/>
        <v>11835</v>
      </c>
      <c r="BY31" s="369">
        <f t="shared" si="35"/>
        <v>4301</v>
      </c>
      <c r="BZ31" s="403">
        <f t="shared" si="36"/>
        <v>6358</v>
      </c>
      <c r="CA31" s="393">
        <f t="shared" si="37"/>
        <v>22494</v>
      </c>
      <c r="CC31" s="393">
        <f t="shared" si="38"/>
        <v>0</v>
      </c>
      <c r="CD31" s="393">
        <f t="shared" si="38"/>
        <v>0</v>
      </c>
      <c r="CE31" s="393">
        <f t="shared" si="39"/>
        <v>0</v>
      </c>
      <c r="CF31" s="393"/>
      <c r="CG31" s="393">
        <f t="shared" si="45"/>
        <v>22494</v>
      </c>
      <c r="DB31" s="333">
        <f>$J19</f>
        <v>6</v>
      </c>
    </row>
    <row r="32" spans="1:106">
      <c r="E32" s="193" t="s">
        <v>103</v>
      </c>
      <c r="F32" s="411">
        <f>+'Total Program Inputs'!E12</f>
        <v>2559</v>
      </c>
      <c r="G32" s="408"/>
      <c r="H32" s="408"/>
      <c r="J32" s="333">
        <f t="shared" si="23"/>
        <v>19</v>
      </c>
      <c r="L32" s="366">
        <f t="shared" si="24"/>
        <v>2033</v>
      </c>
      <c r="M32" s="386">
        <f t="shared" si="46"/>
        <v>2559</v>
      </c>
      <c r="N32" s="387">
        <f t="shared" si="40"/>
        <v>4.7869999999999999</v>
      </c>
      <c r="O32" s="388">
        <f t="shared" si="0"/>
        <v>12250</v>
      </c>
      <c r="P32" s="387">
        <f t="shared" si="1"/>
        <v>0</v>
      </c>
      <c r="Q32" s="389">
        <f t="shared" si="25"/>
        <v>0</v>
      </c>
      <c r="R32" s="390">
        <f t="shared" si="2"/>
        <v>12250</v>
      </c>
      <c r="S32" s="372">
        <f t="shared" si="3"/>
        <v>25.6</v>
      </c>
      <c r="T32" s="389">
        <f t="shared" si="41"/>
        <v>170</v>
      </c>
      <c r="U32" s="391">
        <f t="shared" si="42"/>
        <v>4352</v>
      </c>
      <c r="V32" s="386">
        <f t="shared" si="26"/>
        <v>16602</v>
      </c>
      <c r="W32" s="392">
        <f t="shared" si="4"/>
        <v>3.3530000000000002</v>
      </c>
      <c r="X32" s="393">
        <f t="shared" si="5"/>
        <v>5577</v>
      </c>
      <c r="Y32" s="409">
        <v>0</v>
      </c>
      <c r="Z32" s="409">
        <v>0</v>
      </c>
      <c r="AA32" s="410">
        <f t="shared" si="6"/>
        <v>5577</v>
      </c>
      <c r="AB32" s="409">
        <f t="shared" si="7"/>
        <v>11025</v>
      </c>
      <c r="AE32" s="366">
        <f t="shared" si="27"/>
        <v>2033</v>
      </c>
      <c r="AF32" s="393">
        <f t="shared" si="8"/>
        <v>12250</v>
      </c>
      <c r="AG32" s="368">
        <f t="shared" si="9"/>
        <v>4352</v>
      </c>
      <c r="AH32" s="393">
        <f t="shared" si="43"/>
        <v>16602</v>
      </c>
      <c r="AJ32" s="394">
        <f t="shared" si="28"/>
        <v>0</v>
      </c>
      <c r="AK32" s="394">
        <f t="shared" si="28"/>
        <v>0</v>
      </c>
      <c r="AL32" s="395">
        <f t="shared" si="10"/>
        <v>0</v>
      </c>
      <c r="AN32" s="396">
        <f t="shared" si="11"/>
        <v>16602</v>
      </c>
      <c r="AQ32" s="366">
        <f t="shared" si="29"/>
        <v>2033</v>
      </c>
      <c r="AR32" s="409">
        <f t="shared" si="12"/>
        <v>12250</v>
      </c>
      <c r="AS32" s="393">
        <f t="shared" si="13"/>
        <v>4352</v>
      </c>
      <c r="AT32" s="397">
        <f t="shared" si="14"/>
        <v>4.3999999999999997E-2</v>
      </c>
      <c r="AU32" s="398">
        <f t="shared" si="47"/>
        <v>6506</v>
      </c>
      <c r="AV32" s="387">
        <f t="shared" si="15"/>
        <v>0.53900000000000003</v>
      </c>
      <c r="AW32" s="393">
        <f t="shared" si="16"/>
        <v>1379</v>
      </c>
      <c r="AX32" s="397"/>
      <c r="AY32" s="399"/>
      <c r="AZ32" s="409">
        <f t="shared" si="30"/>
        <v>24487</v>
      </c>
      <c r="BA32" s="381"/>
      <c r="BB32" s="409">
        <v>0</v>
      </c>
      <c r="BC32" s="393">
        <v>0</v>
      </c>
      <c r="BD32" s="400">
        <f t="shared" si="31"/>
        <v>0</v>
      </c>
      <c r="BE32" s="409">
        <f t="shared" si="17"/>
        <v>24487</v>
      </c>
      <c r="BH32" s="366">
        <f t="shared" si="32"/>
        <v>2033</v>
      </c>
      <c r="BI32" s="393">
        <v>0</v>
      </c>
      <c r="BJ32" s="369">
        <f t="shared" si="18"/>
        <v>2559</v>
      </c>
      <c r="BK32" s="401">
        <f t="shared" si="19"/>
        <v>11.481</v>
      </c>
      <c r="BL32" s="393">
        <f t="shared" si="44"/>
        <v>29380</v>
      </c>
      <c r="BM32" s="401">
        <f t="shared" si="20"/>
        <v>0.27300000000000002</v>
      </c>
      <c r="BN32" s="398">
        <f t="shared" si="48"/>
        <v>40367</v>
      </c>
      <c r="BO32" s="402"/>
      <c r="BP32" s="393">
        <f t="shared" si="21"/>
        <v>69747</v>
      </c>
      <c r="BR32" s="393">
        <f t="shared" si="49"/>
        <v>0</v>
      </c>
      <c r="BS32" s="393"/>
      <c r="BT32" s="393">
        <f t="shared" si="33"/>
        <v>69747</v>
      </c>
      <c r="BW32" s="366">
        <f t="shared" si="34"/>
        <v>2033</v>
      </c>
      <c r="BX32" s="393">
        <f t="shared" si="22"/>
        <v>12250</v>
      </c>
      <c r="BY32" s="369">
        <f t="shared" si="35"/>
        <v>4352</v>
      </c>
      <c r="BZ32" s="403">
        <f t="shared" si="36"/>
        <v>6506</v>
      </c>
      <c r="CA32" s="393">
        <f t="shared" si="37"/>
        <v>23108</v>
      </c>
      <c r="CC32" s="393">
        <f t="shared" si="38"/>
        <v>0</v>
      </c>
      <c r="CD32" s="393">
        <f t="shared" si="38"/>
        <v>0</v>
      </c>
      <c r="CE32" s="393">
        <f t="shared" si="39"/>
        <v>0</v>
      </c>
      <c r="CF32" s="393"/>
      <c r="CG32" s="393">
        <f t="shared" si="45"/>
        <v>23108</v>
      </c>
      <c r="DB32" s="333">
        <f>$J20</f>
        <v>7</v>
      </c>
    </row>
    <row r="33" spans="1:106">
      <c r="A33" s="187" t="s">
        <v>75</v>
      </c>
      <c r="C33" s="356">
        <f>+'Gas Input Table Summary'!$D$22</f>
        <v>0.35</v>
      </c>
      <c r="F33" s="368"/>
      <c r="G33" s="368"/>
      <c r="H33" s="368"/>
      <c r="J33" s="333">
        <f t="shared" si="23"/>
        <v>20</v>
      </c>
      <c r="L33" s="366">
        <f t="shared" si="24"/>
        <v>2034</v>
      </c>
      <c r="M33" s="386">
        <f t="shared" si="46"/>
        <v>2559</v>
      </c>
      <c r="N33" s="387">
        <f t="shared" si="40"/>
        <v>4.9539999999999997</v>
      </c>
      <c r="O33" s="388">
        <f t="shared" si="0"/>
        <v>12677</v>
      </c>
      <c r="P33" s="387">
        <f t="shared" si="1"/>
        <v>0</v>
      </c>
      <c r="Q33" s="389">
        <f t="shared" si="25"/>
        <v>0</v>
      </c>
      <c r="R33" s="390">
        <f t="shared" si="2"/>
        <v>12677</v>
      </c>
      <c r="S33" s="372">
        <f t="shared" si="3"/>
        <v>25.6</v>
      </c>
      <c r="T33" s="389">
        <f t="shared" si="41"/>
        <v>172</v>
      </c>
      <c r="U33" s="391">
        <f t="shared" si="42"/>
        <v>4403</v>
      </c>
      <c r="V33" s="386">
        <f t="shared" si="26"/>
        <v>17080</v>
      </c>
      <c r="W33" s="392">
        <f t="shared" si="4"/>
        <v>3.47</v>
      </c>
      <c r="X33" s="393">
        <f t="shared" si="5"/>
        <v>5772</v>
      </c>
      <c r="Y33" s="409">
        <v>0</v>
      </c>
      <c r="Z33" s="409">
        <v>0</v>
      </c>
      <c r="AA33" s="410">
        <f t="shared" si="6"/>
        <v>5772</v>
      </c>
      <c r="AB33" s="409">
        <f t="shared" si="7"/>
        <v>11308</v>
      </c>
      <c r="AE33" s="366">
        <f t="shared" si="27"/>
        <v>2034</v>
      </c>
      <c r="AF33" s="393">
        <f t="shared" si="8"/>
        <v>12677</v>
      </c>
      <c r="AG33" s="368">
        <f t="shared" si="9"/>
        <v>4403</v>
      </c>
      <c r="AH33" s="393">
        <f t="shared" si="43"/>
        <v>17080</v>
      </c>
      <c r="AJ33" s="394">
        <f t="shared" si="28"/>
        <v>0</v>
      </c>
      <c r="AK33" s="394">
        <f t="shared" si="28"/>
        <v>0</v>
      </c>
      <c r="AL33" s="395">
        <f t="shared" si="10"/>
        <v>0</v>
      </c>
      <c r="AN33" s="396">
        <f t="shared" si="11"/>
        <v>17080</v>
      </c>
      <c r="AQ33" s="366">
        <f t="shared" si="29"/>
        <v>2034</v>
      </c>
      <c r="AR33" s="409">
        <f t="shared" si="12"/>
        <v>12677</v>
      </c>
      <c r="AS33" s="393">
        <f t="shared" si="13"/>
        <v>4403</v>
      </c>
      <c r="AT33" s="397">
        <f t="shared" si="14"/>
        <v>4.5999999999999999E-2</v>
      </c>
      <c r="AU33" s="398">
        <f t="shared" si="47"/>
        <v>6802</v>
      </c>
      <c r="AV33" s="387">
        <f t="shared" si="15"/>
        <v>0.55200000000000005</v>
      </c>
      <c r="AW33" s="393">
        <f t="shared" si="16"/>
        <v>1413</v>
      </c>
      <c r="AX33" s="397"/>
      <c r="AY33" s="399"/>
      <c r="AZ33" s="409">
        <f t="shared" si="30"/>
        <v>25295</v>
      </c>
      <c r="BA33" s="381"/>
      <c r="BB33" s="409">
        <v>0</v>
      </c>
      <c r="BC33" s="393">
        <v>0</v>
      </c>
      <c r="BD33" s="400">
        <f t="shared" si="31"/>
        <v>0</v>
      </c>
      <c r="BE33" s="409">
        <f t="shared" si="17"/>
        <v>25295</v>
      </c>
      <c r="BH33" s="366">
        <f t="shared" si="32"/>
        <v>2034</v>
      </c>
      <c r="BI33" s="393">
        <v>0</v>
      </c>
      <c r="BJ33" s="369">
        <f t="shared" si="18"/>
        <v>2559</v>
      </c>
      <c r="BK33" s="401">
        <f t="shared" si="19"/>
        <v>11.882999999999999</v>
      </c>
      <c r="BL33" s="393">
        <f t="shared" si="44"/>
        <v>30409</v>
      </c>
      <c r="BM33" s="401">
        <f t="shared" si="20"/>
        <v>0.28299999999999997</v>
      </c>
      <c r="BN33" s="398">
        <f t="shared" si="48"/>
        <v>41846</v>
      </c>
      <c r="BO33" s="398"/>
      <c r="BP33" s="393">
        <f t="shared" si="21"/>
        <v>72255</v>
      </c>
      <c r="BR33" s="393">
        <f t="shared" si="49"/>
        <v>0</v>
      </c>
      <c r="BS33" s="393"/>
      <c r="BT33" s="393">
        <f t="shared" si="33"/>
        <v>72255</v>
      </c>
      <c r="BW33" s="366">
        <f t="shared" si="34"/>
        <v>2034</v>
      </c>
      <c r="BX33" s="393">
        <f t="shared" si="22"/>
        <v>12677</v>
      </c>
      <c r="BY33" s="369">
        <f t="shared" si="35"/>
        <v>4403</v>
      </c>
      <c r="BZ33" s="403">
        <f t="shared" si="36"/>
        <v>6802</v>
      </c>
      <c r="CA33" s="393">
        <f t="shared" si="37"/>
        <v>23882</v>
      </c>
      <c r="CC33" s="393">
        <f t="shared" si="38"/>
        <v>0</v>
      </c>
      <c r="CD33" s="393">
        <f t="shared" si="38"/>
        <v>0</v>
      </c>
      <c r="CE33" s="393">
        <f t="shared" si="39"/>
        <v>0</v>
      </c>
      <c r="CF33" s="393"/>
      <c r="CG33" s="393">
        <f t="shared" si="45"/>
        <v>23882</v>
      </c>
      <c r="DB33" s="333"/>
    </row>
    <row r="34" spans="1:106">
      <c r="A34" s="185" t="s">
        <v>18</v>
      </c>
      <c r="C34" s="358">
        <f>+'Gas Input Table Summary'!$D$23</f>
        <v>2.3E-2</v>
      </c>
      <c r="E34" s="187" t="s">
        <v>76</v>
      </c>
      <c r="F34" s="357">
        <f>+ROUND(F12/F30,0)</f>
        <v>300</v>
      </c>
      <c r="G34" s="357"/>
      <c r="H34" s="357"/>
      <c r="J34" s="333">
        <f t="shared" si="23"/>
        <v>21</v>
      </c>
      <c r="L34" s="366">
        <f t="shared" si="24"/>
        <v>2035</v>
      </c>
      <c r="M34" s="412">
        <f t="shared" si="46"/>
        <v>0</v>
      </c>
      <c r="N34" s="387">
        <f t="shared" si="40"/>
        <v>5.1280000000000001</v>
      </c>
      <c r="O34" s="394">
        <f t="shared" si="0"/>
        <v>0</v>
      </c>
      <c r="P34" s="413">
        <f t="shared" si="1"/>
        <v>0</v>
      </c>
      <c r="Q34" s="410">
        <f t="shared" si="25"/>
        <v>0</v>
      </c>
      <c r="R34" s="414">
        <f t="shared" si="2"/>
        <v>0</v>
      </c>
      <c r="S34" s="415">
        <f t="shared" si="3"/>
        <v>0</v>
      </c>
      <c r="T34" s="389">
        <f t="shared" si="41"/>
        <v>174</v>
      </c>
      <c r="U34" s="416">
        <f t="shared" si="42"/>
        <v>0</v>
      </c>
      <c r="V34" s="412">
        <f t="shared" si="26"/>
        <v>0</v>
      </c>
      <c r="W34" s="392">
        <f t="shared" si="4"/>
        <v>3.5920000000000001</v>
      </c>
      <c r="X34" s="409">
        <f t="shared" si="5"/>
        <v>0</v>
      </c>
      <c r="Y34" s="409">
        <v>0</v>
      </c>
      <c r="Z34" s="409">
        <v>0</v>
      </c>
      <c r="AA34" s="417">
        <f t="shared" si="6"/>
        <v>0</v>
      </c>
      <c r="AB34" s="418">
        <f t="shared" si="7"/>
        <v>0</v>
      </c>
      <c r="AE34" s="366">
        <f t="shared" si="27"/>
        <v>2035</v>
      </c>
      <c r="AF34" s="409">
        <f t="shared" si="8"/>
        <v>0</v>
      </c>
      <c r="AG34" s="419">
        <f t="shared" si="9"/>
        <v>0</v>
      </c>
      <c r="AH34" s="418">
        <f t="shared" si="43"/>
        <v>0</v>
      </c>
      <c r="AJ34" s="394">
        <f t="shared" si="28"/>
        <v>0</v>
      </c>
      <c r="AK34" s="394">
        <f t="shared" si="28"/>
        <v>0</v>
      </c>
      <c r="AL34" s="420">
        <f t="shared" si="10"/>
        <v>0</v>
      </c>
      <c r="AN34" s="421">
        <f t="shared" si="11"/>
        <v>0</v>
      </c>
      <c r="AQ34" s="366">
        <f t="shared" si="29"/>
        <v>2035</v>
      </c>
      <c r="AR34" s="409">
        <f t="shared" si="12"/>
        <v>0</v>
      </c>
      <c r="AS34" s="409">
        <f t="shared" si="13"/>
        <v>0</v>
      </c>
      <c r="AT34" s="422">
        <f t="shared" si="14"/>
        <v>4.7E-2</v>
      </c>
      <c r="AU34" s="398">
        <f t="shared" si="47"/>
        <v>0</v>
      </c>
      <c r="AV34" s="413">
        <f t="shared" si="15"/>
        <v>0.56399999999999995</v>
      </c>
      <c r="AW34" s="409">
        <f t="shared" si="16"/>
        <v>0</v>
      </c>
      <c r="AX34" s="397"/>
      <c r="AY34" s="423"/>
      <c r="AZ34" s="418">
        <f t="shared" si="30"/>
        <v>0</v>
      </c>
      <c r="BA34" s="381"/>
      <c r="BB34" s="409">
        <v>0</v>
      </c>
      <c r="BC34" s="409">
        <v>0</v>
      </c>
      <c r="BD34" s="424">
        <f t="shared" si="31"/>
        <v>0</v>
      </c>
      <c r="BE34" s="418">
        <f t="shared" si="17"/>
        <v>0</v>
      </c>
      <c r="BH34" s="366">
        <f t="shared" si="32"/>
        <v>2035</v>
      </c>
      <c r="BI34" s="409">
        <v>0</v>
      </c>
      <c r="BJ34" s="412">
        <f t="shared" si="18"/>
        <v>0</v>
      </c>
      <c r="BK34" s="401">
        <f t="shared" si="19"/>
        <v>12.298999999999999</v>
      </c>
      <c r="BL34" s="409">
        <f t="shared" si="44"/>
        <v>0</v>
      </c>
      <c r="BM34" s="401">
        <f t="shared" si="20"/>
        <v>0.29299999999999998</v>
      </c>
      <c r="BN34" s="398">
        <f t="shared" si="48"/>
        <v>0</v>
      </c>
      <c r="BO34" s="425"/>
      <c r="BP34" s="418">
        <f t="shared" si="21"/>
        <v>0</v>
      </c>
      <c r="BR34" s="418">
        <f t="shared" si="49"/>
        <v>0</v>
      </c>
      <c r="BS34" s="418"/>
      <c r="BT34" s="418">
        <f t="shared" si="33"/>
        <v>0</v>
      </c>
      <c r="BW34" s="366">
        <f t="shared" si="34"/>
        <v>2035</v>
      </c>
      <c r="BX34" s="409">
        <f t="shared" si="22"/>
        <v>0</v>
      </c>
      <c r="BY34" s="369">
        <f t="shared" si="35"/>
        <v>0</v>
      </c>
      <c r="BZ34" s="403">
        <f t="shared" si="36"/>
        <v>0</v>
      </c>
      <c r="CA34" s="418">
        <f t="shared" si="37"/>
        <v>0</v>
      </c>
      <c r="CC34" s="418">
        <f t="shared" si="38"/>
        <v>0</v>
      </c>
      <c r="CD34" s="418">
        <f t="shared" si="38"/>
        <v>0</v>
      </c>
      <c r="CE34" s="418">
        <f t="shared" si="39"/>
        <v>0</v>
      </c>
      <c r="CF34" s="418"/>
      <c r="CG34" s="418">
        <f t="shared" si="45"/>
        <v>0</v>
      </c>
      <c r="DB34" s="333"/>
    </row>
    <row r="35" spans="1:106">
      <c r="A35" s="185"/>
      <c r="C35" s="358"/>
      <c r="E35" s="185"/>
      <c r="F35" s="196"/>
      <c r="G35" s="426"/>
      <c r="H35" s="426"/>
      <c r="M35" s="337"/>
      <c r="N35" s="187"/>
      <c r="R35" s="321"/>
      <c r="T35" s="427"/>
      <c r="V35" s="428"/>
      <c r="X35" s="339"/>
      <c r="Y35" s="339"/>
      <c r="Z35" s="339"/>
      <c r="AA35" s="337"/>
      <c r="AB35" s="337"/>
      <c r="AF35" s="337"/>
      <c r="AH35" s="337"/>
      <c r="AN35" s="337"/>
      <c r="AR35" s="337"/>
      <c r="AU35" s="400"/>
      <c r="AW35" s="400"/>
      <c r="AY35" s="400"/>
      <c r="AZ35" s="400"/>
      <c r="BB35" s="339"/>
      <c r="BC35" s="386"/>
      <c r="BG35" s="336"/>
      <c r="BJ35" s="429"/>
      <c r="BP35" s="337"/>
      <c r="BT35" s="428"/>
      <c r="BV35" s="336"/>
      <c r="BY35" s="429"/>
      <c r="CA35" s="337"/>
      <c r="CG35" s="428"/>
      <c r="DB35" s="333">
        <f>$J21</f>
        <v>8</v>
      </c>
    </row>
    <row r="36" spans="1:106">
      <c r="A36" s="185" t="s">
        <v>77</v>
      </c>
      <c r="C36" s="356">
        <f>+'Gas Input Table Summary'!$D$24</f>
        <v>0</v>
      </c>
      <c r="E36" s="430" t="s">
        <v>91</v>
      </c>
      <c r="F36" s="431"/>
      <c r="H36" s="432">
        <f>+'Gas Input Table Summary'!D58</f>
        <v>1.744</v>
      </c>
      <c r="J36" s="321"/>
      <c r="K36" s="187" t="s">
        <v>211</v>
      </c>
      <c r="M36" s="369">
        <f>SUM(M14:M34)</f>
        <v>51180</v>
      </c>
      <c r="N36" s="187"/>
      <c r="R36" s="321"/>
      <c r="S36" s="374"/>
      <c r="T36" s="427"/>
      <c r="V36" s="374">
        <f>SUM(V14:V34)</f>
        <v>266640</v>
      </c>
      <c r="X36" s="357"/>
      <c r="Y36" s="357"/>
      <c r="Z36" s="357"/>
      <c r="AA36" s="357">
        <f>SUM(AA14:AA34)</f>
        <v>150011</v>
      </c>
      <c r="AB36" s="357">
        <f>SUM(AB14:AB34)</f>
        <v>116629</v>
      </c>
      <c r="AD36" s="185" t="s">
        <v>78</v>
      </c>
      <c r="AE36" s="369"/>
      <c r="AF36" s="357"/>
      <c r="AG36" s="357"/>
      <c r="AH36" s="357">
        <f>SUM(AH14:AH34)</f>
        <v>266640</v>
      </c>
      <c r="AL36" s="357">
        <f>SUM(AL14:AL34)</f>
        <v>65103</v>
      </c>
      <c r="AN36" s="357">
        <f>SUM(AN14:AN34)</f>
        <v>201537</v>
      </c>
      <c r="AP36" s="185" t="s">
        <v>78</v>
      </c>
      <c r="AQ36" s="369"/>
      <c r="AR36" s="357"/>
      <c r="AS36" s="357"/>
      <c r="AU36" s="393"/>
      <c r="AW36" s="393"/>
      <c r="AY36" s="393"/>
      <c r="AZ36" s="433">
        <f>SUM(AZ14:AZ34)</f>
        <v>388792</v>
      </c>
      <c r="BB36" s="357"/>
      <c r="BC36" s="357"/>
      <c r="BD36" s="357">
        <f>SUM(BD14:BD34)</f>
        <v>135803</v>
      </c>
      <c r="BE36" s="357">
        <f>SUM(BE14:BE34)</f>
        <v>252989</v>
      </c>
      <c r="BG36" s="434" t="s">
        <v>211</v>
      </c>
      <c r="BI36" s="357"/>
      <c r="BJ36" s="369">
        <f>SUM(BJ14:BJ34)</f>
        <v>51180</v>
      </c>
      <c r="BK36" s="427"/>
      <c r="BL36" s="357"/>
      <c r="BN36" s="357"/>
      <c r="BO36" s="357"/>
      <c r="BP36" s="357">
        <f>SUM(BP14:BP34)</f>
        <v>1122872</v>
      </c>
      <c r="BR36" s="357">
        <f>SUM(BR14:BR34)</f>
        <v>131300</v>
      </c>
      <c r="BS36" s="357"/>
      <c r="BT36" s="357">
        <f>SUM(BT14:BT34)</f>
        <v>991572</v>
      </c>
      <c r="BX36" s="357"/>
      <c r="BY36" s="369"/>
      <c r="BZ36" s="434" t="s">
        <v>211</v>
      </c>
      <c r="CA36" s="357">
        <f>SUM(CA14:CA34)</f>
        <v>365857</v>
      </c>
      <c r="CC36" s="357"/>
      <c r="CD36" s="357"/>
      <c r="CE36" s="357">
        <f>SUM(CE14:CE34)</f>
        <v>135803</v>
      </c>
      <c r="CF36" s="357"/>
      <c r="CG36" s="357">
        <f>SUM(CG14:CG34)</f>
        <v>230054</v>
      </c>
      <c r="DB36" s="333"/>
    </row>
    <row r="37" spans="1:106">
      <c r="A37" s="187" t="s">
        <v>47</v>
      </c>
      <c r="C37" s="358">
        <f>+'Gas Input Table Summary'!$D$25</f>
        <v>0</v>
      </c>
      <c r="E37" s="274"/>
      <c r="F37" s="435"/>
      <c r="H37" s="274"/>
      <c r="M37" s="369"/>
      <c r="N37" s="187"/>
      <c r="R37" s="321"/>
      <c r="S37" s="436"/>
      <c r="T37" s="337" t="s">
        <v>80</v>
      </c>
      <c r="V37" s="436">
        <f>ROUND(V14+NPV($C$41,V15:V34),0)</f>
        <v>136107</v>
      </c>
      <c r="X37" s="357"/>
      <c r="Y37" s="357"/>
      <c r="Z37" s="357"/>
      <c r="AA37" s="357">
        <f>ROUND(AA14+NPV($C$41,AA15:AA34),0)</f>
        <v>107669</v>
      </c>
      <c r="AB37" s="357">
        <f>ROUND(AB14+NPV($C$41,AB15:AB34),0)</f>
        <v>28438</v>
      </c>
      <c r="AF37" s="357"/>
      <c r="AG37" s="185" t="s">
        <v>80</v>
      </c>
      <c r="AH37" s="357">
        <f>ROUND(AH14+NPV($C$41,AH15:AH34),0)</f>
        <v>136107</v>
      </c>
      <c r="AL37" s="357">
        <f>ROUND(AL14+NPV($C$41,AL15:AL34),0)</f>
        <v>65103</v>
      </c>
      <c r="AN37" s="357">
        <f>+AH37-AL37</f>
        <v>71004</v>
      </c>
      <c r="AR37" s="357"/>
      <c r="AS37" s="357"/>
      <c r="AU37" s="393"/>
      <c r="AW37" s="185" t="s">
        <v>80</v>
      </c>
      <c r="AY37" s="393"/>
      <c r="AZ37" s="357">
        <f>ROUND(AZ14+NPV($C$43,AZ15:AZ34),0)</f>
        <v>275270</v>
      </c>
      <c r="BB37" s="357"/>
      <c r="BC37" s="357"/>
      <c r="BD37" s="357">
        <f>ROUND(BD14+NPV($C$43,BD15:BD34),0)</f>
        <v>135803</v>
      </c>
      <c r="BE37" s="357">
        <f>AZ37-BD37</f>
        <v>139467</v>
      </c>
      <c r="BG37" s="336"/>
      <c r="BI37" s="357"/>
      <c r="BL37" s="357"/>
      <c r="BN37" s="357" t="s">
        <v>203</v>
      </c>
      <c r="BO37" s="357"/>
      <c r="BP37" s="357">
        <f>ROUND(BP14+NPV($C$39,BP15:BP34),0)</f>
        <v>508303</v>
      </c>
      <c r="BR37" s="357">
        <f>ROUND(BR14+NPV($C$39,BR15:BR34),0)</f>
        <v>131300</v>
      </c>
      <c r="BS37" s="357"/>
      <c r="BT37" s="369">
        <f>ROUND(BT14+NPV($C$39,BT15:BT34),0)</f>
        <v>377003</v>
      </c>
      <c r="BV37" s="336"/>
      <c r="BX37" s="357"/>
      <c r="BZ37" s="357" t="s">
        <v>203</v>
      </c>
      <c r="CA37" s="357">
        <f>ROUND(CA14+NPV($C$41,CA15:CA34),0)</f>
        <v>185813</v>
      </c>
      <c r="CC37" s="357"/>
      <c r="CD37" s="357"/>
      <c r="CE37" s="357">
        <f>ROUND(CE14+NPV($C$41,CE15:CE34),0)</f>
        <v>135803</v>
      </c>
      <c r="CF37" s="357"/>
      <c r="CG37" s="369">
        <f>ROUND(CG14+NPV($C$41,CG15:CG34),0)</f>
        <v>50010</v>
      </c>
      <c r="DB37" s="333">
        <f>$J22</f>
        <v>9</v>
      </c>
    </row>
    <row r="38" spans="1:106">
      <c r="C38" s="358"/>
      <c r="E38" s="437" t="s">
        <v>98</v>
      </c>
      <c r="F38" s="274"/>
      <c r="H38" s="438">
        <f>+'Gas Input Table Summary'!D59</f>
        <v>0.35</v>
      </c>
      <c r="M38" s="369"/>
      <c r="N38" s="187"/>
      <c r="R38" s="321"/>
      <c r="T38" s="427"/>
      <c r="V38" s="386"/>
      <c r="X38" s="185" t="s">
        <v>81</v>
      </c>
      <c r="Z38" s="369"/>
      <c r="AA38" s="369"/>
      <c r="AB38" s="386"/>
      <c r="AF38" s="369"/>
      <c r="AH38" s="369"/>
      <c r="AI38" s="369"/>
      <c r="AR38" s="369"/>
      <c r="AY38" s="369"/>
      <c r="AZ38" s="369"/>
      <c r="BA38" s="369"/>
      <c r="BB38" s="369"/>
      <c r="BC38" s="369"/>
      <c r="BD38" s="369"/>
      <c r="BE38" s="369"/>
      <c r="BF38" s="369"/>
      <c r="BG38" s="336"/>
      <c r="BI38" s="357"/>
      <c r="BP38" s="369"/>
      <c r="BS38" s="369"/>
      <c r="BU38" s="369"/>
      <c r="BV38" s="336"/>
      <c r="BX38" s="357"/>
      <c r="CA38" s="369"/>
      <c r="CF38" s="369"/>
      <c r="DB38" s="333"/>
    </row>
    <row r="39" spans="1:106">
      <c r="A39" s="185" t="s">
        <v>79</v>
      </c>
      <c r="C39" s="361">
        <f>+'Gas Input Table Summary'!$D$26</f>
        <v>0.1</v>
      </c>
      <c r="E39" s="183" t="s">
        <v>225</v>
      </c>
      <c r="K39" s="185" t="s">
        <v>83</v>
      </c>
      <c r="M39" s="369"/>
      <c r="N39" s="357">
        <f>AB37</f>
        <v>28438</v>
      </c>
      <c r="Q39" s="357"/>
      <c r="R39" s="321"/>
      <c r="T39" s="427"/>
      <c r="U39" s="427"/>
      <c r="V39" s="369"/>
      <c r="X39" s="185" t="s">
        <v>81</v>
      </c>
      <c r="Z39" s="369"/>
      <c r="AA39" s="369"/>
      <c r="AB39" s="386"/>
      <c r="AD39" s="185" t="s">
        <v>83</v>
      </c>
      <c r="AF39" s="369"/>
      <c r="AG39" s="357">
        <f>AN37</f>
        <v>71004</v>
      </c>
      <c r="AH39" s="357"/>
      <c r="AI39" s="369"/>
      <c r="AM39" s="369"/>
      <c r="AP39" s="185" t="s">
        <v>83</v>
      </c>
      <c r="AR39" s="369"/>
      <c r="AS39" s="357">
        <f>BE37</f>
        <v>139467</v>
      </c>
      <c r="AU39" s="357"/>
      <c r="AW39" s="357"/>
      <c r="AY39" s="369"/>
      <c r="AZ39" s="369"/>
      <c r="BA39" s="439"/>
      <c r="BB39" s="369"/>
      <c r="BC39" s="369"/>
      <c r="BD39" s="369"/>
      <c r="BF39" s="369"/>
      <c r="BG39" s="185" t="s">
        <v>83</v>
      </c>
      <c r="BJ39" s="357">
        <f>BT37</f>
        <v>377003</v>
      </c>
      <c r="BK39" s="357"/>
      <c r="BP39" s="369"/>
      <c r="BS39" s="369"/>
      <c r="BT39" s="369"/>
      <c r="BU39" s="369"/>
      <c r="BV39" s="185" t="s">
        <v>83</v>
      </c>
      <c r="BY39" s="357">
        <f>CG37</f>
        <v>50010</v>
      </c>
      <c r="BZ39" s="357"/>
      <c r="CA39" s="369"/>
      <c r="CF39" s="369"/>
      <c r="CG39" s="369"/>
      <c r="DB39" s="333"/>
    </row>
    <row r="40" spans="1:106" ht="13.8" thickBot="1">
      <c r="A40" s="185"/>
      <c r="C40" s="361"/>
      <c r="F40" s="368"/>
      <c r="K40" s="185" t="s">
        <v>84</v>
      </c>
      <c r="N40" s="440">
        <f>ROUND(V37/AA37,2)</f>
        <v>1.26</v>
      </c>
      <c r="Q40" s="427"/>
      <c r="R40" s="321"/>
      <c r="AB40" s="386"/>
      <c r="AD40" s="185" t="s">
        <v>84</v>
      </c>
      <c r="AF40" s="427"/>
      <c r="AG40" s="441">
        <f>ROUND(AH37/AL37,2)</f>
        <v>2.09</v>
      </c>
      <c r="AH40" s="427"/>
      <c r="AP40" s="185" t="s">
        <v>84</v>
      </c>
      <c r="AR40" s="427"/>
      <c r="AS40" s="441">
        <f>ROUND(AZ37/BD37,2)</f>
        <v>2.0299999999999998</v>
      </c>
      <c r="AU40" s="427"/>
      <c r="AW40" s="427"/>
      <c r="AZ40" s="187"/>
      <c r="BD40" s="369"/>
      <c r="BG40" s="185" t="s">
        <v>84</v>
      </c>
      <c r="BJ40" s="441">
        <f>ROUND(BP37/BR37,20)</f>
        <v>3.8713099771515598</v>
      </c>
      <c r="BK40" s="427"/>
      <c r="BV40" s="185" t="s">
        <v>84</v>
      </c>
      <c r="BY40" s="441">
        <f>ROUND(CA37/CE37,2)</f>
        <v>1.37</v>
      </c>
      <c r="BZ40" s="427"/>
      <c r="DB40" s="333">
        <f>$J23</f>
        <v>10</v>
      </c>
    </row>
    <row r="41" spans="1:106" ht="13.8" thickTop="1">
      <c r="A41" s="185" t="s">
        <v>82</v>
      </c>
      <c r="C41" s="361">
        <f>+'Gas Input Table Summary'!$D$27</f>
        <v>7.5999999999999998E-2</v>
      </c>
      <c r="E41" s="59" t="s">
        <v>88</v>
      </c>
      <c r="F41" s="60" t="s">
        <v>89</v>
      </c>
      <c r="G41" s="61" t="s">
        <v>90</v>
      </c>
      <c r="J41" s="355"/>
      <c r="K41" s="442"/>
      <c r="L41" s="355"/>
      <c r="M41" s="355"/>
      <c r="N41" s="355"/>
      <c r="O41" s="355"/>
      <c r="Q41" s="355"/>
      <c r="R41" s="443"/>
      <c r="S41" s="355"/>
      <c r="T41" s="355"/>
      <c r="U41" s="355"/>
      <c r="V41" s="355"/>
      <c r="W41" s="355"/>
      <c r="X41" s="355"/>
      <c r="AB41" s="386"/>
      <c r="AD41" s="185"/>
      <c r="AM41" s="444"/>
      <c r="AN41" s="185"/>
      <c r="AP41" s="185"/>
      <c r="AZ41" s="187"/>
      <c r="BB41" s="444"/>
      <c r="BE41" s="185"/>
      <c r="BG41" s="336"/>
      <c r="BV41" s="336"/>
      <c r="DB41" s="333">
        <f>$J24</f>
        <v>11</v>
      </c>
    </row>
    <row r="42" spans="1:106">
      <c r="E42" s="445" t="s">
        <v>5</v>
      </c>
      <c r="F42" s="446">
        <f>N39</f>
        <v>28438</v>
      </c>
      <c r="G42" s="447">
        <f>N40</f>
        <v>1.26</v>
      </c>
      <c r="J42" s="75"/>
      <c r="K42" s="75"/>
      <c r="L42" s="448"/>
      <c r="M42" s="448"/>
      <c r="N42" s="448"/>
      <c r="O42" s="448"/>
      <c r="Q42" s="448"/>
      <c r="R42" s="448"/>
      <c r="S42" s="448"/>
      <c r="T42" s="448"/>
      <c r="U42" s="448"/>
      <c r="V42" s="448"/>
      <c r="W42" s="448"/>
      <c r="X42" s="448"/>
      <c r="AB42" s="386"/>
      <c r="AZ42" s="187"/>
      <c r="BD42" s="336"/>
      <c r="DB42" s="333">
        <f>$J25</f>
        <v>12</v>
      </c>
    </row>
    <row r="43" spans="1:106">
      <c r="A43" s="187" t="s">
        <v>85</v>
      </c>
      <c r="C43" s="361">
        <f>+'Gas Input Table Summary'!$D$28</f>
        <v>3.56E-2</v>
      </c>
      <c r="E43" s="449" t="s">
        <v>6</v>
      </c>
      <c r="F43" s="374">
        <f>AG39</f>
        <v>71004</v>
      </c>
      <c r="G43" s="450">
        <f>AG40</f>
        <v>2.09</v>
      </c>
      <c r="J43" s="76" t="s">
        <v>124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8"/>
      <c r="AB43" s="386"/>
      <c r="AD43" s="76" t="s">
        <v>124</v>
      </c>
      <c r="AE43" s="77"/>
      <c r="AF43" s="451"/>
      <c r="AG43" s="451"/>
      <c r="AH43" s="452"/>
      <c r="AI43" s="452"/>
      <c r="AJ43" s="452"/>
      <c r="AK43" s="452"/>
      <c r="AN43" s="185"/>
      <c r="AP43" s="76" t="s">
        <v>124</v>
      </c>
      <c r="AQ43" s="77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2"/>
      <c r="BG43" s="76" t="s">
        <v>124</v>
      </c>
      <c r="BH43" s="77"/>
      <c r="BI43" s="451"/>
      <c r="BJ43" s="451"/>
      <c r="BK43" s="452"/>
      <c r="BL43" s="452"/>
      <c r="BM43" s="452"/>
      <c r="BN43" s="452"/>
      <c r="BO43" s="448"/>
      <c r="BP43" s="448" t="s">
        <v>81</v>
      </c>
      <c r="BQ43" s="448"/>
      <c r="BR43" s="448"/>
      <c r="BV43" s="76" t="s">
        <v>124</v>
      </c>
      <c r="BW43" s="77"/>
      <c r="BX43" s="451"/>
      <c r="BY43" s="451"/>
      <c r="BZ43" s="452"/>
      <c r="CA43" s="448" t="s">
        <v>81</v>
      </c>
      <c r="CB43" s="448"/>
      <c r="CC43" s="448"/>
      <c r="CD43" s="448"/>
      <c r="CE43" s="448"/>
      <c r="CI43" s="381"/>
      <c r="DB43" s="333">
        <f>$J26</f>
        <v>13</v>
      </c>
    </row>
    <row r="44" spans="1:106">
      <c r="E44" s="453" t="s">
        <v>7</v>
      </c>
      <c r="F44" s="374">
        <f>AS39</f>
        <v>139467</v>
      </c>
      <c r="G44" s="450">
        <f>AS40</f>
        <v>2.0299999999999998</v>
      </c>
      <c r="J44" s="454" t="s">
        <v>48</v>
      </c>
      <c r="K44" s="171" t="s">
        <v>121</v>
      </c>
      <c r="L44" s="455"/>
      <c r="M44" s="455"/>
      <c r="N44" s="455"/>
      <c r="O44" s="455"/>
      <c r="P44" s="455"/>
      <c r="Q44" s="455"/>
      <c r="R44" s="455"/>
      <c r="S44" s="455"/>
      <c r="T44" s="456" t="s">
        <v>56</v>
      </c>
      <c r="U44" s="171" t="s">
        <v>142</v>
      </c>
      <c r="V44" s="455"/>
      <c r="W44" s="455"/>
      <c r="X44" s="457"/>
      <c r="AB44" s="337"/>
      <c r="AD44" s="454" t="s">
        <v>48</v>
      </c>
      <c r="AE44" s="171" t="s">
        <v>162</v>
      </c>
      <c r="AF44" s="455"/>
      <c r="AG44" s="455"/>
      <c r="AH44" s="455"/>
      <c r="AI44" s="455"/>
      <c r="AJ44" s="455"/>
      <c r="AK44" s="457"/>
      <c r="AN44" s="185"/>
      <c r="AP44" s="458" t="s">
        <v>48</v>
      </c>
      <c r="AQ44" s="171" t="s">
        <v>162</v>
      </c>
      <c r="AR44" s="455"/>
      <c r="AS44" s="455"/>
      <c r="AU44" s="455"/>
      <c r="AW44" s="459" t="s">
        <v>55</v>
      </c>
      <c r="AZ44" s="363" t="s">
        <v>152</v>
      </c>
      <c r="BA44" s="339"/>
      <c r="BC44" s="339"/>
      <c r="BD44" s="455"/>
      <c r="BE44" s="457"/>
      <c r="BG44" s="460" t="s">
        <v>48</v>
      </c>
      <c r="BH44" s="171" t="s">
        <v>156</v>
      </c>
      <c r="BI44" s="455"/>
      <c r="BJ44" s="455"/>
      <c r="BK44" s="455"/>
      <c r="BL44" s="455"/>
      <c r="BM44" s="455"/>
      <c r="BN44" s="457"/>
      <c r="BV44" s="460" t="s">
        <v>48</v>
      </c>
      <c r="BW44" s="171" t="s">
        <v>162</v>
      </c>
      <c r="BX44" s="455"/>
      <c r="BY44" s="455"/>
      <c r="BZ44" s="457"/>
      <c r="CI44" s="381"/>
      <c r="DB44" s="333"/>
    </row>
    <row r="45" spans="1:106">
      <c r="A45" s="185" t="s">
        <v>86</v>
      </c>
      <c r="C45" s="461">
        <f>+'Res .95+% Res Furnace - NEW'!C45</f>
        <v>2014</v>
      </c>
      <c r="E45" s="449" t="s">
        <v>8</v>
      </c>
      <c r="F45" s="374">
        <f>BJ39</f>
        <v>377003</v>
      </c>
      <c r="G45" s="450">
        <f>BJ40</f>
        <v>3.8713099771515598</v>
      </c>
      <c r="J45" s="462" t="s">
        <v>49</v>
      </c>
      <c r="K45" s="172" t="s">
        <v>139</v>
      </c>
      <c r="L45" s="339"/>
      <c r="M45" s="339"/>
      <c r="N45" s="339"/>
      <c r="O45" s="339"/>
      <c r="P45" s="339"/>
      <c r="Q45" s="339"/>
      <c r="R45" s="339"/>
      <c r="S45" s="339"/>
      <c r="T45" s="459" t="s">
        <v>57</v>
      </c>
      <c r="U45" s="172" t="s">
        <v>143</v>
      </c>
      <c r="V45" s="339"/>
      <c r="W45" s="339"/>
      <c r="X45" s="463"/>
      <c r="AB45" s="357"/>
      <c r="AD45" s="462" t="s">
        <v>49</v>
      </c>
      <c r="AE45" s="464" t="s">
        <v>163</v>
      </c>
      <c r="AF45" s="339"/>
      <c r="AG45" s="339"/>
      <c r="AH45" s="339"/>
      <c r="AI45" s="339"/>
      <c r="AJ45" s="339"/>
      <c r="AK45" s="463"/>
      <c r="AP45" s="465" t="s">
        <v>54</v>
      </c>
      <c r="AQ45" s="172" t="s">
        <v>163</v>
      </c>
      <c r="AR45" s="339"/>
      <c r="AS45" s="339"/>
      <c r="AU45" s="339"/>
      <c r="AW45" s="459" t="s">
        <v>56</v>
      </c>
      <c r="AZ45" s="464" t="s">
        <v>153</v>
      </c>
      <c r="BA45" s="339"/>
      <c r="BC45" s="339"/>
      <c r="BD45" s="339"/>
      <c r="BE45" s="463"/>
      <c r="BG45" s="466" t="s">
        <v>49</v>
      </c>
      <c r="BH45" s="172" t="s">
        <v>125</v>
      </c>
      <c r="BI45" s="339"/>
      <c r="BJ45" s="339"/>
      <c r="BK45" s="339"/>
      <c r="BL45" s="339"/>
      <c r="BM45" s="339"/>
      <c r="BN45" s="463"/>
      <c r="BV45" s="466" t="s">
        <v>49</v>
      </c>
      <c r="BW45" s="172" t="s">
        <v>163</v>
      </c>
      <c r="BX45" s="339"/>
      <c r="BY45" s="339"/>
      <c r="BZ45" s="463"/>
      <c r="CI45" s="381"/>
      <c r="DB45" s="333"/>
    </row>
    <row r="46" spans="1:106">
      <c r="C46" s="336"/>
      <c r="E46" s="180" t="s">
        <v>216</v>
      </c>
      <c r="F46" s="467">
        <f>BY39</f>
        <v>50010</v>
      </c>
      <c r="G46" s="468">
        <f>BY40</f>
        <v>1.37</v>
      </c>
      <c r="J46" s="462" t="s">
        <v>50</v>
      </c>
      <c r="K46" s="464" t="s">
        <v>120</v>
      </c>
      <c r="L46" s="339"/>
      <c r="M46" s="339"/>
      <c r="N46" s="339"/>
      <c r="O46" s="339"/>
      <c r="P46" s="339"/>
      <c r="Q46" s="339"/>
      <c r="R46" s="339"/>
      <c r="S46" s="339"/>
      <c r="T46" s="459" t="s">
        <v>58</v>
      </c>
      <c r="U46" s="172" t="s">
        <v>159</v>
      </c>
      <c r="V46" s="339"/>
      <c r="W46" s="339"/>
      <c r="X46" s="463"/>
      <c r="AB46" s="369"/>
      <c r="AD46" s="462" t="s">
        <v>50</v>
      </c>
      <c r="AE46" s="464" t="s">
        <v>164</v>
      </c>
      <c r="AF46" s="339"/>
      <c r="AG46" s="339"/>
      <c r="AH46" s="339"/>
      <c r="AI46" s="339"/>
      <c r="AJ46" s="339"/>
      <c r="AK46" s="463"/>
      <c r="AP46" s="465" t="s">
        <v>50</v>
      </c>
      <c r="AQ46" s="173" t="s">
        <v>199</v>
      </c>
      <c r="AR46" s="355"/>
      <c r="AS46" s="355"/>
      <c r="AU46" s="355"/>
      <c r="AW46" s="459" t="s">
        <v>57</v>
      </c>
      <c r="AZ46" s="464" t="s">
        <v>154</v>
      </c>
      <c r="BA46" s="339"/>
      <c r="BC46" s="339"/>
      <c r="BD46" s="339"/>
      <c r="BE46" s="463"/>
      <c r="BG46" s="466" t="s">
        <v>50</v>
      </c>
      <c r="BH46" s="174" t="s">
        <v>129</v>
      </c>
      <c r="BI46" s="355"/>
      <c r="BJ46" s="355"/>
      <c r="BK46" s="339"/>
      <c r="BL46" s="355"/>
      <c r="BM46" s="459"/>
      <c r="BN46" s="469"/>
      <c r="BV46" s="466" t="s">
        <v>50</v>
      </c>
      <c r="BW46" s="172" t="s">
        <v>218</v>
      </c>
      <c r="BX46" s="355"/>
      <c r="BY46" s="355"/>
      <c r="BZ46" s="463"/>
      <c r="CI46" s="381"/>
      <c r="DB46" s="333"/>
    </row>
    <row r="47" spans="1:106">
      <c r="A47" s="185" t="s">
        <v>87</v>
      </c>
      <c r="C47" s="461">
        <f>+'Res .95+% Res Furnace - NEW'!C47</f>
        <v>2015</v>
      </c>
      <c r="J47" s="462" t="s">
        <v>51</v>
      </c>
      <c r="K47" s="172" t="s">
        <v>138</v>
      </c>
      <c r="L47" s="339"/>
      <c r="M47" s="339"/>
      <c r="N47" s="339"/>
      <c r="O47" s="339"/>
      <c r="P47" s="339"/>
      <c r="Q47" s="339"/>
      <c r="R47" s="339"/>
      <c r="S47" s="339"/>
      <c r="T47" s="459" t="s">
        <v>59</v>
      </c>
      <c r="U47" s="404" t="s">
        <v>160</v>
      </c>
      <c r="V47" s="339"/>
      <c r="W47" s="339"/>
      <c r="X47" s="463"/>
      <c r="AB47" s="369"/>
      <c r="AD47" s="462" t="s">
        <v>51</v>
      </c>
      <c r="AE47" s="172" t="s">
        <v>126</v>
      </c>
      <c r="AF47" s="339"/>
      <c r="AG47" s="339"/>
      <c r="AH47" s="339"/>
      <c r="AI47" s="339"/>
      <c r="AJ47" s="339"/>
      <c r="AK47" s="463"/>
      <c r="AO47" s="185"/>
      <c r="AP47" s="465" t="s">
        <v>51</v>
      </c>
      <c r="AQ47" s="173" t="s">
        <v>151</v>
      </c>
      <c r="AR47" s="355"/>
      <c r="AS47" s="355"/>
      <c r="AU47" s="355"/>
      <c r="AW47" s="459" t="s">
        <v>58</v>
      </c>
      <c r="AZ47" s="464" t="s">
        <v>155</v>
      </c>
      <c r="BA47" s="339"/>
      <c r="BC47" s="339"/>
      <c r="BD47" s="339"/>
      <c r="BE47" s="463"/>
      <c r="BG47" s="466" t="s">
        <v>51</v>
      </c>
      <c r="BH47" s="173" t="s">
        <v>130</v>
      </c>
      <c r="BI47" s="355"/>
      <c r="BJ47" s="355"/>
      <c r="BK47" s="339"/>
      <c r="BL47" s="355"/>
      <c r="BM47" s="459"/>
      <c r="BN47" s="469"/>
      <c r="BO47" s="339"/>
      <c r="BP47" s="339"/>
      <c r="BQ47" s="339"/>
      <c r="BR47" s="339"/>
      <c r="BV47" s="466" t="s">
        <v>51</v>
      </c>
      <c r="BW47" s="172" t="s">
        <v>127</v>
      </c>
      <c r="BX47" s="355"/>
      <c r="BY47" s="355"/>
      <c r="BZ47" s="463"/>
      <c r="CA47" s="339"/>
      <c r="CB47" s="339"/>
      <c r="CC47" s="339"/>
      <c r="CD47" s="339"/>
      <c r="CE47" s="339"/>
      <c r="CI47" s="381"/>
      <c r="DB47" s="333"/>
    </row>
    <row r="48" spans="1:106">
      <c r="A48" s="185"/>
      <c r="C48" s="366"/>
      <c r="J48" s="462" t="s">
        <v>52</v>
      </c>
      <c r="K48" s="464" t="s">
        <v>140</v>
      </c>
      <c r="L48" s="339"/>
      <c r="M48" s="339"/>
      <c r="N48" s="339"/>
      <c r="O48" s="348"/>
      <c r="P48" s="339"/>
      <c r="Q48" s="339"/>
      <c r="R48" s="339"/>
      <c r="S48" s="339"/>
      <c r="T48" s="459" t="s">
        <v>60</v>
      </c>
      <c r="U48" s="172" t="s">
        <v>146</v>
      </c>
      <c r="V48" s="339"/>
      <c r="W48" s="339"/>
      <c r="X48" s="463"/>
      <c r="AD48" s="462" t="s">
        <v>52</v>
      </c>
      <c r="AE48" s="172" t="s">
        <v>156</v>
      </c>
      <c r="AF48" s="339"/>
      <c r="AG48" s="339"/>
      <c r="AH48" s="339"/>
      <c r="AI48" s="339"/>
      <c r="AJ48" s="339"/>
      <c r="AK48" s="463"/>
      <c r="AP48" s="465" t="s">
        <v>52</v>
      </c>
      <c r="AQ48" s="173" t="s">
        <v>134</v>
      </c>
      <c r="AR48" s="355"/>
      <c r="AS48" s="355"/>
      <c r="AU48" s="355"/>
      <c r="AW48" s="459"/>
      <c r="AZ48" s="187"/>
      <c r="BA48" s="339"/>
      <c r="BC48" s="339"/>
      <c r="BD48" s="339"/>
      <c r="BE48" s="463"/>
      <c r="BG48" s="466" t="s">
        <v>52</v>
      </c>
      <c r="BH48" s="173" t="s">
        <v>165</v>
      </c>
      <c r="BI48" s="355"/>
      <c r="BJ48" s="355"/>
      <c r="BK48" s="339"/>
      <c r="BL48" s="355"/>
      <c r="BM48" s="355"/>
      <c r="BN48" s="463"/>
      <c r="BO48" s="339"/>
      <c r="BP48" s="339"/>
      <c r="BQ48" s="339"/>
      <c r="BR48" s="339"/>
      <c r="BV48" s="466" t="s">
        <v>52</v>
      </c>
      <c r="BW48" s="172" t="s">
        <v>222</v>
      </c>
      <c r="BX48" s="355"/>
      <c r="BY48" s="355"/>
      <c r="BZ48" s="463"/>
      <c r="CA48" s="339"/>
      <c r="CB48" s="339"/>
      <c r="CC48" s="339"/>
      <c r="CD48" s="339"/>
      <c r="CE48" s="339"/>
      <c r="CI48" s="381"/>
      <c r="DB48" s="333"/>
    </row>
    <row r="49" spans="1:108">
      <c r="A49" s="185"/>
      <c r="C49" s="336"/>
      <c r="J49" s="462" t="s">
        <v>53</v>
      </c>
      <c r="K49" s="172" t="s">
        <v>141</v>
      </c>
      <c r="L49" s="339"/>
      <c r="M49" s="339"/>
      <c r="N49" s="339"/>
      <c r="O49" s="339"/>
      <c r="P49" s="339"/>
      <c r="Q49" s="339"/>
      <c r="R49" s="339"/>
      <c r="S49" s="339"/>
      <c r="T49" s="459" t="s">
        <v>61</v>
      </c>
      <c r="U49" s="464" t="s">
        <v>128</v>
      </c>
      <c r="V49" s="339"/>
      <c r="W49" s="339"/>
      <c r="X49" s="463"/>
      <c r="AD49" s="462" t="s">
        <v>53</v>
      </c>
      <c r="AE49" s="464" t="s">
        <v>148</v>
      </c>
      <c r="AF49" s="339"/>
      <c r="AG49" s="339"/>
      <c r="AH49" s="339"/>
      <c r="AI49" s="339"/>
      <c r="AJ49" s="339"/>
      <c r="AK49" s="463"/>
      <c r="AP49" s="465" t="s">
        <v>53</v>
      </c>
      <c r="AQ49" s="172" t="s">
        <v>135</v>
      </c>
      <c r="AR49" s="339"/>
      <c r="AS49" s="339"/>
      <c r="AU49" s="339"/>
      <c r="AW49" s="459"/>
      <c r="AZ49" s="187"/>
      <c r="BA49" s="339"/>
      <c r="BC49" s="339"/>
      <c r="BD49" s="339"/>
      <c r="BE49" s="463"/>
      <c r="BG49" s="466" t="s">
        <v>53</v>
      </c>
      <c r="BH49" s="173" t="s">
        <v>365</v>
      </c>
      <c r="BI49" s="355"/>
      <c r="BJ49" s="355"/>
      <c r="BK49" s="339"/>
      <c r="BL49" s="355"/>
      <c r="BM49" s="459"/>
      <c r="BN49" s="463"/>
      <c r="BO49" s="339"/>
      <c r="BP49" s="339"/>
      <c r="BQ49" s="339"/>
      <c r="BR49" s="339"/>
      <c r="BV49" s="466" t="s">
        <v>53</v>
      </c>
      <c r="BW49" s="172" t="s">
        <v>223</v>
      </c>
      <c r="BX49" s="355"/>
      <c r="BY49" s="355"/>
      <c r="BZ49" s="463"/>
      <c r="CA49" s="339"/>
      <c r="CB49" s="339"/>
      <c r="CC49" s="339"/>
      <c r="CD49" s="339"/>
      <c r="CE49" s="339"/>
      <c r="DB49" s="333">
        <f>$J27</f>
        <v>14</v>
      </c>
    </row>
    <row r="50" spans="1:108">
      <c r="J50" s="462" t="s">
        <v>54</v>
      </c>
      <c r="K50" s="172" t="s">
        <v>122</v>
      </c>
      <c r="L50" s="339"/>
      <c r="M50" s="339"/>
      <c r="N50" s="339"/>
      <c r="O50" s="339"/>
      <c r="P50" s="339"/>
      <c r="Q50" s="339"/>
      <c r="R50" s="339"/>
      <c r="S50" s="339"/>
      <c r="T50" s="459" t="s">
        <v>137</v>
      </c>
      <c r="U50" s="464" t="s">
        <v>161</v>
      </c>
      <c r="V50" s="339"/>
      <c r="W50" s="339"/>
      <c r="X50" s="463"/>
      <c r="AD50" s="180" t="s">
        <v>54</v>
      </c>
      <c r="AE50" s="470" t="s">
        <v>149</v>
      </c>
      <c r="AF50" s="346"/>
      <c r="AG50" s="346"/>
      <c r="AH50" s="346"/>
      <c r="AI50" s="346"/>
      <c r="AJ50" s="346"/>
      <c r="AK50" s="471"/>
      <c r="AP50" s="472" t="s">
        <v>54</v>
      </c>
      <c r="AQ50" s="473" t="s">
        <v>150</v>
      </c>
      <c r="AR50" s="346"/>
      <c r="AS50" s="346"/>
      <c r="AT50" s="346"/>
      <c r="AU50" s="346"/>
      <c r="AV50" s="346"/>
      <c r="AW50" s="474"/>
      <c r="AX50" s="474"/>
      <c r="AY50" s="474"/>
      <c r="AZ50" s="474"/>
      <c r="BA50" s="346"/>
      <c r="BB50" s="346"/>
      <c r="BC50" s="346"/>
      <c r="BD50" s="346"/>
      <c r="BE50" s="471"/>
      <c r="BG50" s="466" t="s">
        <v>54</v>
      </c>
      <c r="BH50" s="173" t="s">
        <v>157</v>
      </c>
      <c r="BI50" s="355"/>
      <c r="BJ50" s="355"/>
      <c r="BK50" s="339"/>
      <c r="BL50" s="355"/>
      <c r="BM50" s="459"/>
      <c r="BN50" s="463"/>
      <c r="BO50" s="339"/>
      <c r="BP50" s="339"/>
      <c r="BQ50" s="339"/>
      <c r="BR50" s="339"/>
      <c r="BV50" s="466" t="s">
        <v>54</v>
      </c>
      <c r="BW50" s="173" t="s">
        <v>219</v>
      </c>
      <c r="BX50" s="355"/>
      <c r="BY50" s="355"/>
      <c r="BZ50" s="463"/>
      <c r="CA50" s="339"/>
      <c r="CB50" s="339"/>
      <c r="CC50" s="339"/>
      <c r="CD50" s="339"/>
      <c r="CE50" s="339"/>
      <c r="DB50" s="333">
        <f>$J28</f>
        <v>15</v>
      </c>
    </row>
    <row r="51" spans="1:108" ht="14.1" customHeight="1">
      <c r="A51" s="339"/>
      <c r="B51" s="339"/>
      <c r="C51" s="339"/>
      <c r="J51" s="475" t="s">
        <v>55</v>
      </c>
      <c r="K51" s="476" t="s">
        <v>123</v>
      </c>
      <c r="L51" s="346"/>
      <c r="M51" s="346"/>
      <c r="N51" s="346"/>
      <c r="O51" s="346"/>
      <c r="P51" s="346"/>
      <c r="Q51" s="346"/>
      <c r="R51" s="346"/>
      <c r="S51" s="346"/>
      <c r="T51" s="474" t="s">
        <v>145</v>
      </c>
      <c r="U51" s="476" t="s">
        <v>147</v>
      </c>
      <c r="V51" s="346"/>
      <c r="W51" s="346"/>
      <c r="X51" s="471"/>
      <c r="AD51" s="459"/>
      <c r="AE51" s="339"/>
      <c r="AF51" s="339"/>
      <c r="AG51" s="339"/>
      <c r="AH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G51" s="466" t="s">
        <v>55</v>
      </c>
      <c r="BH51" s="174" t="s">
        <v>166</v>
      </c>
      <c r="BI51" s="339"/>
      <c r="BJ51" s="339"/>
      <c r="BK51" s="339"/>
      <c r="BL51" s="339"/>
      <c r="BM51" s="339"/>
      <c r="BN51" s="463"/>
      <c r="BO51" s="339"/>
      <c r="BP51" s="339"/>
      <c r="BQ51" s="339"/>
      <c r="BR51" s="339"/>
      <c r="BV51" s="466" t="s">
        <v>55</v>
      </c>
      <c r="BW51" s="174" t="s">
        <v>220</v>
      </c>
      <c r="BX51" s="339"/>
      <c r="BY51" s="339"/>
      <c r="BZ51" s="463"/>
      <c r="CA51" s="339"/>
      <c r="CB51" s="339"/>
      <c r="CC51" s="339"/>
      <c r="CD51" s="339"/>
      <c r="CE51" s="339"/>
      <c r="DB51" s="333">
        <f>$J29</f>
        <v>16</v>
      </c>
    </row>
    <row r="52" spans="1:108" ht="14.1" customHeight="1">
      <c r="A52" s="477"/>
      <c r="B52" s="339"/>
      <c r="C52" s="478"/>
      <c r="K52" s="193"/>
      <c r="N52" s="187"/>
      <c r="R52" s="32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G52" s="479" t="s">
        <v>56</v>
      </c>
      <c r="BH52" s="480" t="s">
        <v>158</v>
      </c>
      <c r="BI52" s="481"/>
      <c r="BJ52" s="481"/>
      <c r="BK52" s="481"/>
      <c r="BL52" s="481"/>
      <c r="BM52" s="346"/>
      <c r="BN52" s="471"/>
      <c r="BV52" s="479"/>
      <c r="BW52" s="346"/>
      <c r="BX52" s="481"/>
      <c r="BY52" s="481"/>
      <c r="BZ52" s="482"/>
      <c r="CL52" s="427"/>
      <c r="DB52" s="369"/>
    </row>
    <row r="53" spans="1:108" ht="14.1" customHeight="1">
      <c r="A53" s="339"/>
      <c r="B53" s="339"/>
      <c r="C53" s="477"/>
      <c r="K53" s="193"/>
      <c r="N53" s="187"/>
      <c r="R53" s="321"/>
      <c r="AB53" s="369"/>
      <c r="AP53" s="45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G53" s="483"/>
      <c r="BH53" s="339"/>
      <c r="BI53" s="355"/>
      <c r="BJ53" s="355"/>
      <c r="BK53" s="355"/>
      <c r="BL53" s="355"/>
      <c r="BM53" s="339"/>
      <c r="BN53" s="339"/>
      <c r="BV53" s="483"/>
      <c r="BW53" s="339"/>
      <c r="BX53" s="355"/>
      <c r="BY53" s="355"/>
      <c r="BZ53" s="355"/>
      <c r="CL53" s="357"/>
      <c r="DD53" s="369"/>
    </row>
    <row r="54" spans="1:108" ht="14.1" customHeight="1">
      <c r="C54" s="484"/>
      <c r="K54" s="193"/>
      <c r="N54" s="187"/>
      <c r="R54" s="321"/>
      <c r="AP54" s="485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H54" s="336"/>
      <c r="BW54" s="336"/>
    </row>
    <row r="55" spans="1:108" ht="14.1" customHeight="1">
      <c r="C55" s="484"/>
      <c r="N55" s="187"/>
      <c r="R55" s="321"/>
      <c r="AP55" s="485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H55" s="336"/>
      <c r="BW55" s="336"/>
    </row>
    <row r="56" spans="1:108">
      <c r="C56" s="486"/>
      <c r="N56" s="187"/>
      <c r="Q56" s="321"/>
      <c r="AO56" s="477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G56" s="336"/>
      <c r="BV56" s="336"/>
    </row>
    <row r="57" spans="1:108">
      <c r="C57" s="487"/>
      <c r="N57" s="187"/>
      <c r="Q57" s="32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G57" s="336"/>
      <c r="BV57" s="336"/>
    </row>
    <row r="58" spans="1:108">
      <c r="C58" s="487"/>
      <c r="N58" s="187"/>
      <c r="Q58" s="321"/>
      <c r="AZ58" s="187"/>
      <c r="BG58" s="336"/>
      <c r="BV58" s="336"/>
    </row>
    <row r="59" spans="1:108">
      <c r="C59" s="488"/>
      <c r="N59" s="187"/>
      <c r="Q59" s="321"/>
      <c r="AZ59" s="187"/>
      <c r="BG59" s="336"/>
      <c r="BV59" s="336"/>
    </row>
    <row r="60" spans="1:108">
      <c r="N60" s="187"/>
      <c r="Q60" s="321"/>
      <c r="AZ60" s="187"/>
      <c r="BG60" s="336"/>
      <c r="BV60" s="336"/>
    </row>
    <row r="61" spans="1:108">
      <c r="N61" s="187"/>
      <c r="Q61" s="321"/>
      <c r="AZ61" s="187"/>
      <c r="BG61" s="336"/>
      <c r="BV61" s="336"/>
    </row>
    <row r="62" spans="1:108" ht="12" customHeight="1">
      <c r="N62" s="187"/>
      <c r="Q62" s="321"/>
      <c r="AZ62" s="187"/>
      <c r="BG62" s="336"/>
      <c r="BV62" s="336"/>
    </row>
    <row r="63" spans="1:108">
      <c r="D63" s="339"/>
      <c r="E63" s="339"/>
      <c r="F63" s="489"/>
      <c r="G63" s="489"/>
      <c r="N63" s="187"/>
      <c r="Q63" s="321"/>
      <c r="AZ63" s="187"/>
      <c r="BG63" s="336"/>
      <c r="BV63" s="336"/>
    </row>
    <row r="64" spans="1:108">
      <c r="D64" s="339"/>
      <c r="E64" s="339"/>
      <c r="F64" s="489"/>
      <c r="G64" s="489"/>
      <c r="N64" s="187"/>
      <c r="Q64" s="321"/>
      <c r="AZ64" s="187"/>
      <c r="BG64" s="336"/>
      <c r="BV64" s="336"/>
    </row>
    <row r="65" spans="1:74">
      <c r="C65" s="357"/>
      <c r="D65" s="339"/>
      <c r="E65" s="339"/>
      <c r="F65" s="339"/>
      <c r="G65" s="339"/>
      <c r="N65" s="187"/>
      <c r="Q65" s="321"/>
      <c r="AZ65" s="187"/>
      <c r="BG65" s="336"/>
      <c r="BV65" s="336"/>
    </row>
    <row r="66" spans="1:74">
      <c r="A66" s="44"/>
      <c r="B66" s="185"/>
      <c r="D66" s="339"/>
      <c r="E66" s="339"/>
      <c r="F66" s="339"/>
      <c r="G66" s="339"/>
      <c r="N66" s="187"/>
      <c r="Q66" s="321"/>
      <c r="AZ66" s="187"/>
      <c r="BG66" s="336"/>
      <c r="BV66" s="336"/>
    </row>
    <row r="67" spans="1:74">
      <c r="A67" s="44"/>
      <c r="B67" s="185"/>
      <c r="D67" s="339"/>
      <c r="E67" s="339"/>
      <c r="F67" s="339"/>
      <c r="G67" s="339"/>
      <c r="N67" s="187"/>
      <c r="Q67" s="321"/>
      <c r="AZ67" s="187"/>
      <c r="BG67" s="336"/>
      <c r="BV67" s="336"/>
    </row>
    <row r="68" spans="1:74">
      <c r="N68" s="187"/>
      <c r="Q68" s="321"/>
      <c r="AZ68" s="187"/>
      <c r="BG68" s="336"/>
      <c r="BV68" s="336"/>
    </row>
    <row r="69" spans="1:74">
      <c r="N69" s="187"/>
      <c r="Q69" s="321"/>
      <c r="AZ69" s="187"/>
      <c r="BG69" s="336"/>
      <c r="BV69" s="336"/>
    </row>
    <row r="70" spans="1:74">
      <c r="N70" s="187"/>
      <c r="Q70" s="321"/>
      <c r="AZ70" s="187"/>
      <c r="BG70" s="336"/>
      <c r="BV70" s="336"/>
    </row>
    <row r="71" spans="1:74">
      <c r="N71" s="187"/>
      <c r="Q71" s="321"/>
      <c r="AZ71" s="187"/>
      <c r="BG71" s="336"/>
      <c r="BV71" s="336"/>
    </row>
    <row r="72" spans="1:74">
      <c r="N72" s="187"/>
      <c r="Q72" s="321"/>
      <c r="AZ72" s="187"/>
      <c r="BG72" s="336"/>
      <c r="BV72" s="336"/>
    </row>
    <row r="73" spans="1:74">
      <c r="N73" s="187"/>
      <c r="Q73" s="321"/>
      <c r="AZ73" s="187"/>
      <c r="BG73" s="336"/>
      <c r="BV73" s="336"/>
    </row>
    <row r="74" spans="1:74">
      <c r="N74" s="187"/>
      <c r="Q74" s="321"/>
      <c r="AZ74" s="187"/>
      <c r="BG74" s="336"/>
      <c r="BV74" s="336"/>
    </row>
    <row r="75" spans="1:74">
      <c r="N75" s="187"/>
      <c r="Q75" s="321"/>
      <c r="AZ75" s="187"/>
      <c r="BG75" s="336"/>
      <c r="BV75" s="336"/>
    </row>
    <row r="76" spans="1:74">
      <c r="N76" s="187"/>
      <c r="Q76" s="321"/>
      <c r="AZ76" s="187"/>
      <c r="BG76" s="336"/>
      <c r="BV76" s="336"/>
    </row>
    <row r="77" spans="1:74">
      <c r="N77" s="187"/>
      <c r="Q77" s="321"/>
      <c r="AZ77" s="187"/>
      <c r="BG77" s="336"/>
      <c r="BV77" s="336"/>
    </row>
    <row r="78" spans="1:74">
      <c r="N78" s="187"/>
      <c r="Q78" s="321"/>
      <c r="AZ78" s="187"/>
      <c r="BG78" s="336"/>
      <c r="BV78" s="336"/>
    </row>
    <row r="79" spans="1:74">
      <c r="N79" s="187"/>
      <c r="Q79" s="321"/>
      <c r="AZ79" s="187"/>
      <c r="BG79" s="336"/>
      <c r="BV79" s="336"/>
    </row>
    <row r="80" spans="1:74">
      <c r="N80" s="187"/>
      <c r="Q80" s="321"/>
      <c r="AZ80" s="187"/>
      <c r="BG80" s="336"/>
      <c r="BV80" s="336"/>
    </row>
    <row r="81" spans="6:74">
      <c r="F81" s="444"/>
      <c r="G81" s="444"/>
      <c r="N81" s="187"/>
      <c r="Q81" s="321"/>
      <c r="AZ81" s="187"/>
      <c r="BG81" s="336"/>
      <c r="BV81" s="336"/>
    </row>
    <row r="82" spans="6:74">
      <c r="N82" s="187"/>
      <c r="Q82" s="321"/>
      <c r="AZ82" s="187"/>
      <c r="BG82" s="336"/>
      <c r="BV82" s="336"/>
    </row>
    <row r="83" spans="6:74">
      <c r="N83" s="187"/>
      <c r="Q83" s="321"/>
      <c r="AZ83" s="187"/>
      <c r="BG83" s="336"/>
      <c r="BV83" s="336"/>
    </row>
    <row r="84" spans="6:74">
      <c r="N84" s="187"/>
      <c r="Q84" s="321"/>
      <c r="AZ84" s="187"/>
      <c r="BG84" s="336"/>
      <c r="BV84" s="336"/>
    </row>
    <row r="85" spans="6:74">
      <c r="N85" s="187"/>
      <c r="Q85" s="321"/>
      <c r="AZ85" s="187"/>
      <c r="BG85" s="336"/>
      <c r="BV85" s="336"/>
    </row>
    <row r="86" spans="6:74">
      <c r="N86" s="187"/>
      <c r="Q86" s="321"/>
      <c r="AZ86" s="187"/>
      <c r="BG86" s="336"/>
      <c r="BV86" s="336"/>
    </row>
    <row r="87" spans="6:74">
      <c r="N87" s="187"/>
      <c r="Q87" s="321"/>
      <c r="AZ87" s="187"/>
      <c r="BG87" s="336"/>
      <c r="BV87" s="336"/>
    </row>
    <row r="88" spans="6:74">
      <c r="N88" s="187"/>
      <c r="Q88" s="321"/>
      <c r="AZ88" s="187"/>
      <c r="BG88" s="336"/>
      <c r="BV88" s="336"/>
    </row>
    <row r="89" spans="6:74">
      <c r="N89" s="187"/>
      <c r="Q89" s="321"/>
      <c r="AZ89" s="187"/>
      <c r="BG89" s="336"/>
      <c r="BV89" s="336"/>
    </row>
    <row r="90" spans="6:74">
      <c r="N90" s="187"/>
      <c r="Q90" s="321"/>
      <c r="AZ90" s="187"/>
      <c r="BG90" s="336"/>
      <c r="BV90" s="336"/>
    </row>
    <row r="91" spans="6:74">
      <c r="N91" s="187"/>
      <c r="Q91" s="321"/>
      <c r="AZ91" s="187"/>
      <c r="BG91" s="336"/>
      <c r="BV91" s="336"/>
    </row>
    <row r="92" spans="6:74">
      <c r="N92" s="187"/>
      <c r="Q92" s="321"/>
      <c r="AZ92" s="187"/>
      <c r="BG92" s="336"/>
      <c r="BV92" s="336"/>
    </row>
    <row r="93" spans="6:74">
      <c r="N93" s="187"/>
      <c r="Q93" s="321"/>
      <c r="AZ93" s="187"/>
      <c r="BG93" s="336"/>
      <c r="BV93" s="336"/>
    </row>
    <row r="94" spans="6:74">
      <c r="N94" s="187"/>
      <c r="Q94" s="321"/>
      <c r="AZ94" s="187"/>
      <c r="BG94" s="336"/>
      <c r="BV94" s="336"/>
    </row>
    <row r="95" spans="6:74">
      <c r="N95" s="187"/>
      <c r="Q95" s="321"/>
      <c r="AZ95" s="187"/>
      <c r="BG95" s="336"/>
      <c r="BV95" s="336"/>
    </row>
    <row r="96" spans="6:74">
      <c r="N96" s="187"/>
      <c r="Q96" s="321"/>
      <c r="AZ96" s="187"/>
      <c r="BG96" s="336"/>
      <c r="BV96" s="336"/>
    </row>
    <row r="97" spans="1:74">
      <c r="N97" s="187"/>
      <c r="Q97" s="321"/>
      <c r="AZ97" s="187"/>
      <c r="BG97" s="336"/>
      <c r="BV97" s="336"/>
    </row>
    <row r="98" spans="1:74">
      <c r="N98" s="187"/>
      <c r="Q98" s="321"/>
      <c r="AZ98" s="187"/>
      <c r="BG98" s="336"/>
      <c r="BV98" s="336"/>
    </row>
    <row r="99" spans="1:74">
      <c r="N99" s="187"/>
      <c r="Q99" s="321"/>
      <c r="AZ99" s="187"/>
      <c r="BG99" s="336"/>
      <c r="BV99" s="336"/>
    </row>
    <row r="100" spans="1:74">
      <c r="N100" s="187"/>
      <c r="Q100" s="321"/>
      <c r="AZ100" s="187"/>
      <c r="BG100" s="336"/>
      <c r="BV100" s="336"/>
    </row>
    <row r="101" spans="1:74">
      <c r="N101" s="187"/>
      <c r="Q101" s="321"/>
      <c r="AZ101" s="187"/>
      <c r="BG101" s="336"/>
      <c r="BV101" s="336"/>
    </row>
    <row r="102" spans="1:74">
      <c r="N102" s="187"/>
      <c r="Q102" s="321"/>
      <c r="AZ102" s="187"/>
      <c r="BG102" s="336"/>
      <c r="BV102" s="336"/>
    </row>
    <row r="103" spans="1:74">
      <c r="N103" s="187"/>
      <c r="Q103" s="321"/>
      <c r="AZ103" s="187"/>
      <c r="BG103" s="336"/>
      <c r="BV103" s="336"/>
    </row>
    <row r="104" spans="1:74">
      <c r="N104" s="187"/>
      <c r="Q104" s="321"/>
      <c r="AZ104" s="187"/>
      <c r="BG104" s="336"/>
      <c r="BV104" s="336"/>
    </row>
    <row r="105" spans="1:74">
      <c r="E105" s="490"/>
      <c r="N105" s="187"/>
      <c r="Q105" s="321"/>
      <c r="AZ105" s="187"/>
      <c r="BG105" s="336"/>
      <c r="BV105" s="336"/>
    </row>
    <row r="106" spans="1:74">
      <c r="N106" s="187"/>
      <c r="Q106" s="321"/>
      <c r="AZ106" s="187"/>
      <c r="BG106" s="336"/>
      <c r="BV106" s="336"/>
    </row>
    <row r="107" spans="1:74">
      <c r="N107" s="187"/>
      <c r="Q107" s="321"/>
      <c r="AZ107" s="187"/>
      <c r="BG107" s="336"/>
      <c r="BV107" s="336"/>
    </row>
    <row r="108" spans="1:74">
      <c r="N108" s="187"/>
      <c r="Q108" s="321"/>
      <c r="AZ108" s="187"/>
      <c r="BG108" s="336"/>
      <c r="BV108" s="336"/>
    </row>
    <row r="109" spans="1:74">
      <c r="N109" s="187"/>
      <c r="Q109" s="321"/>
      <c r="AZ109" s="187"/>
      <c r="BG109" s="336"/>
      <c r="BV109" s="336"/>
    </row>
    <row r="110" spans="1:74">
      <c r="N110" s="187"/>
      <c r="Q110" s="321"/>
      <c r="AZ110" s="187"/>
      <c r="BG110" s="336"/>
      <c r="BV110" s="336"/>
    </row>
    <row r="111" spans="1:74">
      <c r="A111" s="44"/>
      <c r="B111" s="185"/>
      <c r="N111" s="187"/>
      <c r="Q111" s="321"/>
      <c r="AZ111" s="187"/>
      <c r="BG111" s="336"/>
      <c r="BV111" s="336"/>
    </row>
    <row r="112" spans="1:74">
      <c r="N112" s="187"/>
      <c r="Q112" s="321"/>
      <c r="AZ112" s="187"/>
      <c r="BG112" s="336"/>
      <c r="BV112" s="336"/>
    </row>
    <row r="113" spans="1:74">
      <c r="N113" s="187"/>
      <c r="Q113" s="321"/>
      <c r="AZ113" s="187"/>
      <c r="BG113" s="336"/>
      <c r="BV113" s="336"/>
    </row>
    <row r="114" spans="1:74">
      <c r="N114" s="187"/>
      <c r="Q114" s="321"/>
      <c r="AZ114" s="187"/>
      <c r="BG114" s="336"/>
      <c r="BV114" s="336"/>
    </row>
    <row r="115" spans="1:74">
      <c r="N115" s="187"/>
      <c r="Q115" s="321"/>
      <c r="AZ115" s="187"/>
      <c r="BG115" s="336"/>
      <c r="BV115" s="336"/>
    </row>
    <row r="116" spans="1:74">
      <c r="N116" s="187"/>
      <c r="Q116" s="321"/>
      <c r="AZ116" s="187"/>
      <c r="BG116" s="336"/>
      <c r="BV116" s="336"/>
    </row>
    <row r="117" spans="1:74">
      <c r="N117" s="187"/>
      <c r="Q117" s="321"/>
      <c r="AZ117" s="187"/>
      <c r="BG117" s="336"/>
      <c r="BV117" s="336"/>
    </row>
    <row r="118" spans="1:74">
      <c r="N118" s="187"/>
      <c r="Q118" s="321"/>
      <c r="AZ118" s="187"/>
      <c r="BG118" s="336"/>
      <c r="BV118" s="336"/>
    </row>
    <row r="119" spans="1:74">
      <c r="N119" s="187"/>
      <c r="Q119" s="321"/>
      <c r="AZ119" s="187"/>
      <c r="BG119" s="336"/>
      <c r="BV119" s="336"/>
    </row>
    <row r="120" spans="1:74">
      <c r="N120" s="187"/>
      <c r="Q120" s="321"/>
      <c r="AZ120" s="187"/>
      <c r="BG120" s="336"/>
      <c r="BV120" s="336"/>
    </row>
    <row r="121" spans="1:74">
      <c r="N121" s="187"/>
      <c r="Q121" s="321"/>
      <c r="AZ121" s="187"/>
      <c r="BG121" s="336"/>
      <c r="BV121" s="336"/>
    </row>
    <row r="122" spans="1:74">
      <c r="N122" s="187"/>
      <c r="Q122" s="321"/>
      <c r="AZ122" s="187"/>
      <c r="BG122" s="336"/>
      <c r="BV122" s="336"/>
    </row>
    <row r="123" spans="1:74">
      <c r="N123" s="187"/>
      <c r="Q123" s="321"/>
      <c r="AZ123" s="187"/>
      <c r="BG123" s="336"/>
      <c r="BV123" s="336"/>
    </row>
    <row r="124" spans="1:74">
      <c r="N124" s="187"/>
      <c r="Q124" s="321"/>
      <c r="AZ124" s="187"/>
      <c r="BG124" s="336"/>
      <c r="BV124" s="336"/>
    </row>
    <row r="125" spans="1:74">
      <c r="N125" s="187"/>
      <c r="Q125" s="321"/>
      <c r="AZ125" s="187"/>
      <c r="BG125" s="336"/>
      <c r="BV125" s="336"/>
    </row>
    <row r="126" spans="1:74">
      <c r="N126" s="187"/>
      <c r="Q126" s="321"/>
      <c r="AZ126" s="187"/>
      <c r="BG126" s="336"/>
      <c r="BV126" s="336"/>
    </row>
    <row r="127" spans="1:74">
      <c r="N127" s="187"/>
      <c r="Q127" s="321"/>
      <c r="AZ127" s="187"/>
      <c r="BG127" s="336"/>
      <c r="BV127" s="336"/>
    </row>
    <row r="128" spans="1:74">
      <c r="A128" s="185"/>
      <c r="N128" s="187"/>
      <c r="Q128" s="321"/>
      <c r="AZ128" s="187"/>
      <c r="BG128" s="336"/>
      <c r="BV128" s="336"/>
    </row>
    <row r="129" spans="1:74">
      <c r="A129" s="185"/>
      <c r="N129" s="187"/>
      <c r="Q129" s="321"/>
      <c r="AZ129" s="187"/>
      <c r="BG129" s="336"/>
      <c r="BV129" s="336"/>
    </row>
    <row r="130" spans="1:74">
      <c r="A130" s="185"/>
      <c r="B130" s="185"/>
      <c r="N130" s="187"/>
      <c r="Q130" s="321"/>
      <c r="AZ130" s="187"/>
      <c r="BG130" s="336"/>
      <c r="BV130" s="336"/>
    </row>
    <row r="131" spans="1:74">
      <c r="N131" s="187"/>
      <c r="Q131" s="321"/>
      <c r="AZ131" s="187"/>
      <c r="BG131" s="336"/>
      <c r="BV131" s="336"/>
    </row>
    <row r="132" spans="1:74">
      <c r="A132" s="185"/>
      <c r="B132" s="185"/>
      <c r="N132" s="187"/>
      <c r="Q132" s="321"/>
      <c r="AZ132" s="187"/>
      <c r="BG132" s="336"/>
      <c r="BV132" s="336"/>
    </row>
    <row r="133" spans="1:74">
      <c r="N133" s="187"/>
      <c r="Q133" s="321"/>
      <c r="AZ133" s="187"/>
      <c r="BG133" s="336"/>
      <c r="BV133" s="336"/>
    </row>
    <row r="134" spans="1:74">
      <c r="A134" s="185"/>
      <c r="B134" s="185"/>
      <c r="N134" s="187"/>
      <c r="Q134" s="321"/>
      <c r="AZ134" s="187"/>
      <c r="BG134" s="336"/>
      <c r="BV134" s="336"/>
    </row>
    <row r="135" spans="1:74">
      <c r="N135" s="187"/>
      <c r="Q135" s="321"/>
      <c r="AZ135" s="187"/>
      <c r="BG135" s="336"/>
      <c r="BV135" s="336"/>
    </row>
    <row r="136" spans="1:74">
      <c r="A136" s="185"/>
      <c r="B136" s="185"/>
      <c r="N136" s="187"/>
      <c r="Q136" s="321"/>
      <c r="AZ136" s="187"/>
      <c r="BG136" s="336"/>
      <c r="BV136" s="336"/>
    </row>
    <row r="137" spans="1:74">
      <c r="N137" s="187"/>
      <c r="Q137" s="321"/>
      <c r="AZ137" s="187"/>
      <c r="BG137" s="336"/>
      <c r="BV137" s="336"/>
    </row>
    <row r="138" spans="1:74">
      <c r="A138" s="185"/>
      <c r="B138" s="185"/>
      <c r="N138" s="187"/>
      <c r="Q138" s="321"/>
      <c r="AZ138" s="187"/>
      <c r="BG138" s="336"/>
      <c r="BV138" s="336"/>
    </row>
    <row r="139" spans="1:74">
      <c r="N139" s="187"/>
      <c r="Q139" s="321"/>
      <c r="AZ139" s="187"/>
      <c r="BG139" s="336"/>
      <c r="BV139" s="336"/>
    </row>
    <row r="140" spans="1:74">
      <c r="A140" s="185"/>
      <c r="B140" s="185"/>
      <c r="N140" s="187"/>
      <c r="Q140" s="321"/>
      <c r="AZ140" s="187"/>
      <c r="BG140" s="336"/>
      <c r="BV140" s="336"/>
    </row>
    <row r="141" spans="1:74">
      <c r="N141" s="187"/>
      <c r="Q141" s="321"/>
      <c r="AZ141" s="187"/>
      <c r="BG141" s="336"/>
      <c r="BV141" s="336"/>
    </row>
    <row r="142" spans="1:74">
      <c r="A142" s="185"/>
      <c r="B142" s="185"/>
      <c r="N142" s="187"/>
      <c r="Q142" s="321"/>
      <c r="AZ142" s="187"/>
      <c r="BG142" s="336"/>
      <c r="BV142" s="336"/>
    </row>
    <row r="143" spans="1:74">
      <c r="N143" s="187"/>
      <c r="Q143" s="321"/>
      <c r="AZ143" s="187"/>
      <c r="BG143" s="336"/>
      <c r="BV143" s="336"/>
    </row>
    <row r="144" spans="1:74">
      <c r="A144" s="185"/>
      <c r="B144" s="185"/>
      <c r="N144" s="187"/>
      <c r="Q144" s="321"/>
      <c r="AZ144" s="187"/>
      <c r="BG144" s="336"/>
      <c r="BV144" s="336"/>
    </row>
    <row r="145" spans="1:74">
      <c r="N145" s="187"/>
      <c r="Q145" s="321"/>
      <c r="AZ145" s="187"/>
      <c r="BG145" s="336"/>
      <c r="BV145" s="336"/>
    </row>
    <row r="146" spans="1:74">
      <c r="N146" s="187"/>
      <c r="Q146" s="321"/>
      <c r="AZ146" s="187"/>
      <c r="BG146" s="336"/>
      <c r="BV146" s="336"/>
    </row>
    <row r="147" spans="1:74">
      <c r="N147" s="187"/>
      <c r="Q147" s="321"/>
      <c r="AZ147" s="187"/>
      <c r="BG147" s="336"/>
      <c r="BV147" s="336"/>
    </row>
    <row r="148" spans="1:74">
      <c r="A148" s="185"/>
      <c r="N148" s="187"/>
      <c r="Q148" s="321"/>
      <c r="AZ148" s="187"/>
      <c r="BG148" s="336"/>
      <c r="BV148" s="336"/>
    </row>
    <row r="149" spans="1:74">
      <c r="A149" s="185"/>
      <c r="N149" s="187"/>
      <c r="Q149" s="321"/>
      <c r="AZ149" s="187"/>
      <c r="BG149" s="336"/>
      <c r="BV149" s="336"/>
    </row>
    <row r="150" spans="1:74">
      <c r="A150" s="185"/>
      <c r="B150" s="185"/>
      <c r="N150" s="187"/>
      <c r="Q150" s="321"/>
      <c r="AZ150" s="187"/>
      <c r="BG150" s="336"/>
      <c r="BV150" s="336"/>
    </row>
    <row r="151" spans="1:74">
      <c r="B151" s="185"/>
      <c r="N151" s="187"/>
      <c r="Q151" s="321"/>
      <c r="AZ151" s="187"/>
      <c r="BG151" s="336"/>
      <c r="BV151" s="336"/>
    </row>
    <row r="152" spans="1:74">
      <c r="B152" s="185"/>
      <c r="N152" s="187"/>
      <c r="Q152" s="321"/>
      <c r="AZ152" s="187"/>
      <c r="BG152" s="336"/>
      <c r="BV152" s="336"/>
    </row>
    <row r="153" spans="1:74">
      <c r="B153" s="185"/>
      <c r="N153" s="187"/>
      <c r="Q153" s="321"/>
      <c r="AZ153" s="187"/>
      <c r="BG153" s="336"/>
      <c r="BV153" s="336"/>
    </row>
    <row r="154" spans="1:74">
      <c r="B154" s="185"/>
      <c r="N154" s="187"/>
      <c r="Q154" s="321"/>
      <c r="AZ154" s="187"/>
      <c r="BG154" s="336"/>
      <c r="BV154" s="336"/>
    </row>
    <row r="155" spans="1:74">
      <c r="B155" s="185"/>
      <c r="N155" s="187"/>
      <c r="Q155" s="321"/>
      <c r="AZ155" s="187"/>
      <c r="BG155" s="336"/>
      <c r="BV155" s="336"/>
    </row>
    <row r="156" spans="1:74">
      <c r="B156" s="185"/>
      <c r="N156" s="187"/>
      <c r="Q156" s="321"/>
      <c r="AZ156" s="187"/>
      <c r="BG156" s="336"/>
      <c r="BV156" s="336"/>
    </row>
    <row r="157" spans="1:74">
      <c r="B157" s="185"/>
      <c r="N157" s="187"/>
      <c r="Q157" s="321"/>
      <c r="AZ157" s="187"/>
      <c r="BG157" s="336"/>
      <c r="BV157" s="336"/>
    </row>
    <row r="158" spans="1:74">
      <c r="N158" s="187"/>
      <c r="Q158" s="321"/>
      <c r="AZ158" s="187"/>
      <c r="BG158" s="336"/>
      <c r="BV158" s="336"/>
    </row>
    <row r="159" spans="1:74">
      <c r="N159" s="187"/>
      <c r="Q159" s="321"/>
      <c r="AZ159" s="187"/>
      <c r="BG159" s="336"/>
      <c r="BV159" s="336"/>
    </row>
    <row r="160" spans="1:74">
      <c r="N160" s="187"/>
      <c r="Q160" s="321"/>
      <c r="AZ160" s="187"/>
      <c r="BG160" s="336"/>
      <c r="BV160" s="336"/>
    </row>
    <row r="161" spans="1:74">
      <c r="A161" s="185"/>
      <c r="B161" s="185"/>
      <c r="N161" s="187"/>
      <c r="Q161" s="321"/>
      <c r="AZ161" s="187"/>
      <c r="BG161" s="336"/>
      <c r="BV161" s="336"/>
    </row>
    <row r="162" spans="1:74">
      <c r="B162" s="185"/>
      <c r="N162" s="187"/>
      <c r="Q162" s="321"/>
      <c r="AZ162" s="187"/>
      <c r="BG162" s="336"/>
      <c r="BV162" s="336"/>
    </row>
    <row r="163" spans="1:74">
      <c r="N163" s="187"/>
      <c r="Q163" s="321"/>
      <c r="AZ163" s="187"/>
      <c r="BG163" s="336"/>
      <c r="BV163" s="336"/>
    </row>
    <row r="164" spans="1:74">
      <c r="N164" s="187"/>
      <c r="Q164" s="321"/>
      <c r="AZ164" s="187"/>
      <c r="BG164" s="336"/>
      <c r="BV164" s="336"/>
    </row>
    <row r="165" spans="1:74">
      <c r="N165" s="187"/>
      <c r="Q165" s="321"/>
      <c r="AZ165" s="187"/>
      <c r="BG165" s="336"/>
      <c r="BV165" s="336"/>
    </row>
    <row r="166" spans="1:74">
      <c r="N166" s="187"/>
      <c r="Q166" s="321"/>
      <c r="AZ166" s="187"/>
      <c r="BG166" s="336"/>
      <c r="BV166" s="336"/>
    </row>
    <row r="167" spans="1:74">
      <c r="N167" s="187"/>
      <c r="Q167" s="321"/>
      <c r="AZ167" s="187"/>
      <c r="BG167" s="336"/>
      <c r="BV167" s="336"/>
    </row>
    <row r="168" spans="1:74">
      <c r="A168" s="185"/>
      <c r="N168" s="187"/>
      <c r="Q168" s="321"/>
      <c r="AZ168" s="187"/>
      <c r="BG168" s="336"/>
      <c r="BV168" s="336"/>
    </row>
    <row r="169" spans="1:74">
      <c r="A169" s="185"/>
      <c r="N169" s="187"/>
      <c r="Q169" s="321"/>
      <c r="AZ169" s="187"/>
      <c r="BG169" s="336"/>
      <c r="BV169" s="336"/>
    </row>
    <row r="170" spans="1:74">
      <c r="A170" s="185"/>
      <c r="B170" s="185"/>
      <c r="N170" s="187"/>
      <c r="Q170" s="321"/>
      <c r="AZ170" s="187"/>
      <c r="BG170" s="336"/>
      <c r="BV170" s="336"/>
    </row>
    <row r="171" spans="1:74">
      <c r="B171" s="185"/>
      <c r="N171" s="187"/>
      <c r="Q171" s="321"/>
      <c r="AZ171" s="187"/>
      <c r="BG171" s="336"/>
      <c r="BV171" s="336"/>
    </row>
    <row r="172" spans="1:74">
      <c r="A172" s="185"/>
      <c r="B172" s="185"/>
      <c r="N172" s="187"/>
      <c r="Q172" s="321"/>
      <c r="AZ172" s="187"/>
      <c r="BG172" s="336"/>
      <c r="BV172" s="336"/>
    </row>
    <row r="173" spans="1:74">
      <c r="AZ173" s="187"/>
      <c r="BC173" s="336"/>
    </row>
    <row r="174" spans="1:74">
      <c r="AZ174" s="187"/>
      <c r="BC174" s="336"/>
    </row>
    <row r="175" spans="1:74">
      <c r="AZ175" s="187"/>
      <c r="BC175" s="336"/>
    </row>
    <row r="176" spans="1:74">
      <c r="AZ176" s="187"/>
      <c r="BC176" s="336"/>
    </row>
    <row r="177" spans="52:55">
      <c r="AZ177" s="187"/>
      <c r="BC177" s="336"/>
    </row>
    <row r="178" spans="52:55">
      <c r="AZ178" s="187"/>
      <c r="BC178" s="336"/>
    </row>
    <row r="179" spans="52:55">
      <c r="AZ179" s="187"/>
      <c r="BC179" s="336"/>
    </row>
    <row r="180" spans="52:55">
      <c r="AZ180" s="187"/>
      <c r="BC180" s="336"/>
    </row>
    <row r="181" spans="52:55">
      <c r="AZ181" s="187"/>
      <c r="BC181" s="336"/>
    </row>
    <row r="182" spans="52:55">
      <c r="AZ182" s="187"/>
      <c r="BC182" s="336"/>
    </row>
    <row r="183" spans="52:55">
      <c r="AZ183" s="187"/>
      <c r="BC183" s="336"/>
    </row>
    <row r="184" spans="52:55">
      <c r="AZ184" s="187"/>
      <c r="BC184" s="336"/>
    </row>
    <row r="185" spans="52:55">
      <c r="AZ185" s="187"/>
      <c r="BC185" s="336"/>
    </row>
    <row r="186" spans="52:55">
      <c r="AZ186" s="187"/>
      <c r="BC186" s="336"/>
    </row>
    <row r="187" spans="52:55">
      <c r="AZ187" s="187"/>
      <c r="BC187" s="336"/>
    </row>
    <row r="188" spans="52:55">
      <c r="AZ188" s="187"/>
      <c r="BC188" s="336"/>
    </row>
    <row r="189" spans="52:55">
      <c r="AZ189" s="187"/>
      <c r="BC189" s="336"/>
    </row>
    <row r="190" spans="52:55">
      <c r="AZ190" s="187"/>
      <c r="BC190" s="336"/>
    </row>
    <row r="191" spans="52:55">
      <c r="AZ191" s="187"/>
      <c r="BC191" s="336"/>
    </row>
    <row r="192" spans="52:55">
      <c r="AZ192" s="187"/>
      <c r="BC192" s="336"/>
    </row>
    <row r="193" spans="52:55">
      <c r="AZ193" s="187"/>
      <c r="BC193" s="336"/>
    </row>
    <row r="194" spans="52:55">
      <c r="AZ194" s="187"/>
      <c r="BC194" s="336"/>
    </row>
    <row r="195" spans="52:55">
      <c r="AZ195" s="187"/>
      <c r="BC195" s="336"/>
    </row>
    <row r="196" spans="52:55">
      <c r="AZ196" s="187"/>
      <c r="BC196" s="336"/>
    </row>
    <row r="197" spans="52:55">
      <c r="AZ197" s="187"/>
      <c r="BC197" s="336"/>
    </row>
    <row r="198" spans="52:55">
      <c r="AZ198" s="187"/>
      <c r="BC198" s="336"/>
    </row>
    <row r="199" spans="52:55">
      <c r="AZ199" s="187"/>
      <c r="BC199" s="336"/>
    </row>
    <row r="200" spans="52:55">
      <c r="AZ200" s="187"/>
      <c r="BC200" s="336"/>
    </row>
    <row r="201" spans="52:55">
      <c r="AZ201" s="187"/>
      <c r="BC201" s="336"/>
    </row>
    <row r="202" spans="52:55">
      <c r="AZ202" s="187"/>
      <c r="BC202" s="336"/>
    </row>
    <row r="203" spans="52:55">
      <c r="AZ203" s="187"/>
      <c r="BC203" s="336"/>
    </row>
    <row r="204" spans="52:55">
      <c r="AZ204" s="187"/>
      <c r="BC204" s="336"/>
    </row>
    <row r="205" spans="52:55">
      <c r="AZ205" s="187"/>
      <c r="BC205" s="336"/>
    </row>
    <row r="206" spans="52:55">
      <c r="AZ206" s="187"/>
      <c r="BC206" s="336"/>
    </row>
    <row r="207" spans="52:55">
      <c r="AZ207" s="187"/>
      <c r="BC207" s="336"/>
    </row>
    <row r="208" spans="52:55">
      <c r="AZ208" s="187"/>
      <c r="BC208" s="336"/>
    </row>
    <row r="209" spans="52:55">
      <c r="AZ209" s="187"/>
      <c r="BC209" s="336"/>
    </row>
    <row r="210" spans="52:55">
      <c r="AZ210" s="187"/>
      <c r="BC210" s="336"/>
    </row>
    <row r="211" spans="52:55">
      <c r="AZ211" s="187"/>
      <c r="BC211" s="336"/>
    </row>
    <row r="212" spans="52:55">
      <c r="AZ212" s="187"/>
      <c r="BC212" s="336"/>
    </row>
    <row r="213" spans="52:55">
      <c r="AZ213" s="187"/>
      <c r="BC213" s="336"/>
    </row>
    <row r="214" spans="52:55">
      <c r="AZ214" s="187"/>
      <c r="BC214" s="336"/>
    </row>
  </sheetData>
  <printOptions horizontalCentered="1" gridLinesSet="0"/>
  <pageMargins left="0.25" right="0.25" top="0.7" bottom="0.37" header="0.5" footer="0.17"/>
  <pageSetup scale="83" orientation="landscape" r:id="rId1"/>
  <headerFooter alignWithMargins="0">
    <oddFooter>&amp;C&amp;P</oddFooter>
  </headerFooter>
  <colBreaks count="5" manualBreakCount="5">
    <brk id="9" max="51" man="1"/>
    <brk id="29" max="51" man="1"/>
    <brk id="41" max="51" man="1"/>
    <brk id="58" max="51" man="1"/>
    <brk id="73" max="51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214"/>
  <sheetViews>
    <sheetView showGridLines="0" topLeftCell="BA1" zoomScaleNormal="100" workbookViewId="0">
      <selection activeCell="CJ45" sqref="CJ45"/>
    </sheetView>
  </sheetViews>
  <sheetFormatPr defaultColWidth="10.6640625" defaultRowHeight="13.2"/>
  <cols>
    <col min="1" max="1" width="29.33203125" style="187" customWidth="1"/>
    <col min="2" max="2" width="11.109375" style="187" customWidth="1"/>
    <col min="3" max="3" width="13" style="187" customWidth="1"/>
    <col min="4" max="4" width="4.6640625" style="187" customWidth="1"/>
    <col min="5" max="5" width="44.88671875" style="187" customWidth="1"/>
    <col min="6" max="6" width="9.109375" style="187" bestFit="1" customWidth="1"/>
    <col min="7" max="8" width="11.6640625" style="187" bestFit="1" customWidth="1"/>
    <col min="9" max="9" width="3.6640625" style="187" customWidth="1"/>
    <col min="10" max="10" width="2.88671875" style="187" customWidth="1"/>
    <col min="11" max="11" width="4" style="187" customWidth="1"/>
    <col min="12" max="12" width="10.33203125" style="187" customWidth="1"/>
    <col min="13" max="13" width="9" style="187" customWidth="1"/>
    <col min="14" max="14" width="10.44140625" style="321" bestFit="1" customWidth="1"/>
    <col min="15" max="15" width="10.44140625" style="187" bestFit="1" customWidth="1"/>
    <col min="16" max="17" width="7.6640625" style="187" bestFit="1" customWidth="1"/>
    <col min="18" max="18" width="7.44140625" style="187" bestFit="1" customWidth="1"/>
    <col min="19" max="19" width="9.33203125" style="187" bestFit="1" customWidth="1"/>
    <col min="20" max="20" width="7.88671875" style="187" bestFit="1" customWidth="1"/>
    <col min="21" max="22" width="9.109375" style="187" bestFit="1" customWidth="1"/>
    <col min="23" max="23" width="10.33203125" style="187" bestFit="1" customWidth="1"/>
    <col min="24" max="24" width="8.88671875" style="187" customWidth="1"/>
    <col min="25" max="25" width="8" style="187" bestFit="1" customWidth="1"/>
    <col min="26" max="27" width="8.109375" style="187" bestFit="1" customWidth="1"/>
    <col min="28" max="28" width="9.109375" style="187" bestFit="1" customWidth="1"/>
    <col min="29" max="29" width="3.5546875" style="187" customWidth="1"/>
    <col min="30" max="30" width="2.88671875" style="187" customWidth="1"/>
    <col min="31" max="31" width="7.88671875" style="187" customWidth="1"/>
    <col min="32" max="32" width="12.6640625" style="187" customWidth="1"/>
    <col min="33" max="33" width="10.109375" style="187" customWidth="1"/>
    <col min="34" max="34" width="9.109375" style="187" bestFit="1" customWidth="1"/>
    <col min="35" max="35" width="2.6640625" style="187" customWidth="1"/>
    <col min="36" max="36" width="8" style="187" bestFit="1" customWidth="1"/>
    <col min="37" max="38" width="8.109375" style="187" bestFit="1" customWidth="1"/>
    <col min="39" max="39" width="2.6640625" style="187" customWidth="1"/>
    <col min="40" max="40" width="9.109375" style="187" bestFit="1" customWidth="1"/>
    <col min="41" max="41" width="3.88671875" style="187" customWidth="1"/>
    <col min="42" max="42" width="3.33203125" style="187" customWidth="1"/>
    <col min="43" max="43" width="7.88671875" style="187" customWidth="1"/>
    <col min="44" max="44" width="8.44140625" style="187" bestFit="1" customWidth="1"/>
    <col min="45" max="45" width="9.109375" style="187" bestFit="1" customWidth="1"/>
    <col min="46" max="47" width="8.33203125" style="187" bestFit="1" customWidth="1"/>
    <col min="48" max="49" width="12.5546875" style="187" bestFit="1" customWidth="1"/>
    <col min="50" max="50" width="11.109375" style="187" hidden="1" customWidth="1"/>
    <col min="51" max="51" width="2.6640625" style="187" hidden="1" customWidth="1"/>
    <col min="52" max="52" width="10.109375" style="336" customWidth="1"/>
    <col min="53" max="53" width="2.6640625" style="187" customWidth="1"/>
    <col min="54" max="54" width="8.109375" style="187" bestFit="1" customWidth="1"/>
    <col min="55" max="55" width="11.109375" style="187" bestFit="1" customWidth="1"/>
    <col min="56" max="56" width="8.109375" style="187" bestFit="1" customWidth="1"/>
    <col min="57" max="57" width="9.109375" style="187" bestFit="1" customWidth="1"/>
    <col min="58" max="58" width="3.6640625" style="187" customWidth="1"/>
    <col min="59" max="59" width="2.88671875" style="187" customWidth="1"/>
    <col min="60" max="60" width="9.88671875" style="187" customWidth="1"/>
    <col min="61" max="61" width="9.88671875" style="187" bestFit="1" customWidth="1"/>
    <col min="62" max="62" width="9.33203125" style="187" bestFit="1" customWidth="1"/>
    <col min="63" max="63" width="8.109375" style="187" bestFit="1" customWidth="1"/>
    <col min="64" max="64" width="7.44140625" style="187" bestFit="1" customWidth="1"/>
    <col min="65" max="65" width="10.109375" style="187" bestFit="1" customWidth="1"/>
    <col min="66" max="66" width="8.33203125" style="187" bestFit="1" customWidth="1"/>
    <col min="67" max="67" width="10.88671875" style="187" hidden="1" customWidth="1"/>
    <col min="68" max="68" width="9.109375" style="187" bestFit="1" customWidth="1"/>
    <col min="69" max="69" width="2.6640625" style="187" customWidth="1"/>
    <col min="70" max="70" width="9.88671875" style="187" bestFit="1" customWidth="1"/>
    <col min="71" max="71" width="2.6640625" style="187" customWidth="1"/>
    <col min="72" max="72" width="9.109375" style="187" bestFit="1" customWidth="1"/>
    <col min="73" max="73" width="3.6640625" style="187" customWidth="1"/>
    <col min="74" max="74" width="3.5546875" style="187" customWidth="1"/>
    <col min="75" max="75" width="7.33203125" style="187" customWidth="1"/>
    <col min="76" max="76" width="10.5546875" style="187" customWidth="1"/>
    <col min="77" max="77" width="9.5546875" style="187" customWidth="1"/>
    <col min="78" max="78" width="8.33203125" style="187" bestFit="1" customWidth="1"/>
    <col min="79" max="79" width="9.109375" style="187" bestFit="1" customWidth="1"/>
    <col min="80" max="80" width="2.6640625" style="187" customWidth="1"/>
    <col min="81" max="81" width="8.109375" style="187" bestFit="1" customWidth="1"/>
    <col min="82" max="82" width="11.109375" style="187" bestFit="1" customWidth="1"/>
    <col min="83" max="83" width="8.109375" style="187" bestFit="1" customWidth="1"/>
    <col min="84" max="84" width="2.6640625" style="187" customWidth="1"/>
    <col min="85" max="85" width="9.109375" style="187" bestFit="1" customWidth="1"/>
    <col min="86" max="86" width="8.6640625" style="187" customWidth="1"/>
    <col min="87" max="88" width="10.6640625" style="187" customWidth="1"/>
    <col min="89" max="89" width="1.6640625" style="187" customWidth="1"/>
    <col min="90" max="93" width="8.6640625" style="187" customWidth="1"/>
    <col min="94" max="94" width="1.6640625" style="187" customWidth="1"/>
    <col min="95" max="95" width="9.6640625" style="187" customWidth="1"/>
    <col min="96" max="96" width="2.6640625" style="187" customWidth="1"/>
    <col min="97" max="97" width="10.6640625" style="187" customWidth="1"/>
    <col min="98" max="98" width="8.6640625" style="187" customWidth="1"/>
    <col min="99" max="99" width="9.6640625" style="187" customWidth="1"/>
    <col min="100" max="246" width="8.6640625" style="187" customWidth="1"/>
    <col min="247" max="16384" width="10.6640625" style="187"/>
  </cols>
  <sheetData>
    <row r="1" spans="1:106">
      <c r="A1" s="55" t="s">
        <v>109</v>
      </c>
      <c r="B1" s="55"/>
      <c r="C1" s="56"/>
      <c r="D1" s="55"/>
      <c r="E1" s="56"/>
      <c r="F1" s="55"/>
      <c r="G1" s="55"/>
      <c r="H1" s="332"/>
      <c r="K1" s="1" t="s">
        <v>1</v>
      </c>
      <c r="M1" s="333"/>
      <c r="N1" s="187"/>
      <c r="R1" s="321"/>
      <c r="T1" s="185"/>
      <c r="U1" s="185"/>
      <c r="AD1" s="1" t="s">
        <v>2</v>
      </c>
      <c r="AF1" s="333"/>
      <c r="AG1" s="185"/>
      <c r="AP1" s="1" t="s">
        <v>3</v>
      </c>
      <c r="AR1" s="333"/>
      <c r="AZ1" s="187"/>
      <c r="BC1" s="334"/>
      <c r="BG1" s="1" t="s">
        <v>4</v>
      </c>
      <c r="BJ1" s="185"/>
      <c r="BV1" s="1" t="s">
        <v>215</v>
      </c>
      <c r="BY1" s="185"/>
    </row>
    <row r="2" spans="1:106">
      <c r="A2" s="56" t="s">
        <v>108</v>
      </c>
      <c r="B2" s="55"/>
      <c r="C2" s="55"/>
      <c r="D2" s="55"/>
      <c r="E2" s="55"/>
      <c r="F2" s="55"/>
      <c r="G2" s="55"/>
      <c r="H2" s="332"/>
      <c r="K2" s="1" t="s">
        <v>5</v>
      </c>
      <c r="N2" s="187"/>
      <c r="R2" s="321"/>
      <c r="T2" s="185"/>
      <c r="U2" s="185"/>
      <c r="AD2" s="1" t="s">
        <v>6</v>
      </c>
      <c r="AG2" s="185"/>
      <c r="AP2" s="1" t="s">
        <v>7</v>
      </c>
      <c r="AZ2" s="187"/>
      <c r="BC2" s="334"/>
      <c r="BD2" s="334"/>
      <c r="BG2" s="1" t="s">
        <v>8</v>
      </c>
      <c r="BJ2" s="185"/>
      <c r="BO2" s="185"/>
      <c r="BV2" s="1" t="s">
        <v>216</v>
      </c>
      <c r="BY2" s="185"/>
    </row>
    <row r="3" spans="1:106">
      <c r="B3" s="335"/>
      <c r="C3" s="335"/>
      <c r="N3" s="187"/>
      <c r="R3" s="321"/>
      <c r="AZ3" s="187"/>
      <c r="BD3" s="334"/>
      <c r="BG3" s="336"/>
      <c r="BO3" s="185"/>
      <c r="BV3" s="336"/>
    </row>
    <row r="4" spans="1:106">
      <c r="A4" s="337" t="s">
        <v>9</v>
      </c>
      <c r="B4" s="7" t="s">
        <v>94</v>
      </c>
      <c r="K4" s="185" t="s">
        <v>9</v>
      </c>
      <c r="M4" s="10" t="str">
        <f>B4</f>
        <v>Montana-Dakota Utilities Co.</v>
      </c>
      <c r="N4" s="187"/>
      <c r="R4" s="321"/>
      <c r="S4" s="166"/>
      <c r="AD4" s="185" t="s">
        <v>9</v>
      </c>
      <c r="AF4" s="10" t="str">
        <f>B4</f>
        <v>Montana-Dakota Utilities Co.</v>
      </c>
      <c r="AP4" s="185" t="s">
        <v>11</v>
      </c>
      <c r="AR4" s="10" t="str">
        <f>AF4</f>
        <v>Montana-Dakota Utilities Co.</v>
      </c>
      <c r="AZ4" s="187"/>
      <c r="BH4" s="338" t="s">
        <v>11</v>
      </c>
      <c r="BI4" s="10" t="str">
        <f>AR4</f>
        <v>Montana-Dakota Utilities Co.</v>
      </c>
      <c r="BW4" s="338" t="s">
        <v>11</v>
      </c>
      <c r="BX4" s="10" t="str">
        <f>BI4</f>
        <v>Montana-Dakota Utilities Co.</v>
      </c>
    </row>
    <row r="5" spans="1:106">
      <c r="A5" s="337" t="s">
        <v>10</v>
      </c>
      <c r="B5" s="9" t="s">
        <v>250</v>
      </c>
      <c r="K5" s="185" t="s">
        <v>10</v>
      </c>
      <c r="M5" s="10" t="str">
        <f>$B$5</f>
        <v>Residential Water Heating .67 EF</v>
      </c>
      <c r="N5" s="187"/>
      <c r="R5" s="321"/>
      <c r="AD5" s="185" t="s">
        <v>10</v>
      </c>
      <c r="AF5" s="10" t="str">
        <f>$B$5</f>
        <v>Residential Water Heating .67 EF</v>
      </c>
      <c r="AP5" s="185" t="s">
        <v>12</v>
      </c>
      <c r="AR5" s="10" t="str">
        <f>$B$5</f>
        <v>Residential Water Heating .67 EF</v>
      </c>
      <c r="AZ5" s="187"/>
      <c r="BH5" s="338" t="s">
        <v>12</v>
      </c>
      <c r="BI5" s="10" t="str">
        <f>$B$5</f>
        <v>Residential Water Heating .67 EF</v>
      </c>
      <c r="BW5" s="338" t="s">
        <v>12</v>
      </c>
      <c r="BX5" s="10" t="str">
        <f>$B$5</f>
        <v>Residential Water Heating .67 EF</v>
      </c>
    </row>
    <row r="6" spans="1:106">
      <c r="A6" s="337" t="s">
        <v>200</v>
      </c>
      <c r="B6" s="312" t="s">
        <v>320</v>
      </c>
      <c r="N6" s="187"/>
      <c r="R6" s="321"/>
      <c r="AZ6" s="187"/>
      <c r="BG6" s="336"/>
      <c r="BV6" s="336"/>
    </row>
    <row r="7" spans="1:106">
      <c r="M7" s="339"/>
      <c r="N7" s="47" t="s">
        <v>14</v>
      </c>
      <c r="O7" s="48"/>
      <c r="P7" s="48"/>
      <c r="Q7" s="48"/>
      <c r="R7" s="114"/>
      <c r="S7" s="48"/>
      <c r="T7" s="48"/>
      <c r="U7" s="48"/>
      <c r="V7" s="48"/>
      <c r="W7" s="339"/>
      <c r="X7" s="88" t="s">
        <v>15</v>
      </c>
      <c r="Y7" s="88"/>
      <c r="Z7" s="340"/>
      <c r="AA7" s="341"/>
      <c r="AB7" s="167"/>
      <c r="AC7" s="339"/>
      <c r="AD7" s="339"/>
      <c r="AE7" s="339"/>
      <c r="AF7" s="47" t="s">
        <v>14</v>
      </c>
      <c r="AG7" s="342"/>
      <c r="AH7" s="342"/>
      <c r="AI7" s="339"/>
      <c r="AJ7" s="88" t="s">
        <v>15</v>
      </c>
      <c r="AK7" s="88"/>
      <c r="AL7" s="88"/>
      <c r="AM7" s="339"/>
      <c r="AN7" s="343" t="s">
        <v>81</v>
      </c>
      <c r="AO7" s="339"/>
      <c r="AP7" s="339"/>
      <c r="AQ7" s="339"/>
      <c r="AR7" s="47" t="s">
        <v>14</v>
      </c>
      <c r="AS7" s="48"/>
      <c r="AT7" s="48"/>
      <c r="AU7" s="48"/>
      <c r="AV7" s="48"/>
      <c r="AW7" s="48"/>
      <c r="AX7" s="48"/>
      <c r="AY7" s="48"/>
      <c r="AZ7" s="48"/>
      <c r="BA7" s="339"/>
      <c r="BB7" s="88" t="s">
        <v>15</v>
      </c>
      <c r="BC7" s="88"/>
      <c r="BD7" s="89"/>
      <c r="BE7" s="75" t="s">
        <v>81</v>
      </c>
      <c r="BF7" s="339"/>
      <c r="BG7" s="198"/>
      <c r="BH7" s="339"/>
      <c r="BI7" s="47" t="s">
        <v>14</v>
      </c>
      <c r="BJ7" s="344"/>
      <c r="BK7" s="344"/>
      <c r="BL7" s="344"/>
      <c r="BM7" s="344"/>
      <c r="BN7" s="344"/>
      <c r="BO7" s="344"/>
      <c r="BP7" s="344"/>
      <c r="BQ7" s="339"/>
      <c r="BR7" s="126" t="s">
        <v>15</v>
      </c>
      <c r="BS7" s="125" t="s">
        <v>81</v>
      </c>
      <c r="BT7" s="339"/>
      <c r="BU7" s="339"/>
      <c r="BV7" s="198"/>
      <c r="BW7" s="339"/>
      <c r="BX7" s="47" t="s">
        <v>14</v>
      </c>
      <c r="BY7" s="344"/>
      <c r="BZ7" s="344"/>
      <c r="CA7" s="344"/>
      <c r="CB7" s="339"/>
      <c r="CC7" s="88" t="s">
        <v>15</v>
      </c>
      <c r="CD7" s="88"/>
      <c r="CE7" s="88"/>
      <c r="CF7" s="125" t="s">
        <v>81</v>
      </c>
      <c r="CG7" s="339"/>
    </row>
    <row r="8" spans="1:106">
      <c r="A8" s="345" t="s">
        <v>13</v>
      </c>
      <c r="B8" s="345"/>
      <c r="C8" s="346"/>
      <c r="E8" s="345"/>
      <c r="F8" s="184">
        <v>2015</v>
      </c>
      <c r="G8" s="167"/>
      <c r="H8" s="167"/>
      <c r="L8" s="339"/>
      <c r="M8" s="347"/>
      <c r="N8" s="347"/>
      <c r="O8" s="339"/>
      <c r="Q8" s="347"/>
      <c r="R8" s="348"/>
      <c r="S8" s="347"/>
      <c r="T8" s="347"/>
      <c r="U8" s="347"/>
      <c r="V8" s="347"/>
      <c r="W8" s="347"/>
      <c r="X8" s="347"/>
      <c r="Z8" s="347"/>
      <c r="AA8" s="167"/>
      <c r="AB8" s="167" t="s">
        <v>17</v>
      </c>
      <c r="AC8" s="339"/>
      <c r="AD8" s="339"/>
      <c r="AE8" s="339"/>
      <c r="AF8" s="347"/>
      <c r="AG8" s="347"/>
      <c r="AH8" s="347"/>
      <c r="AI8" s="339"/>
      <c r="AL8" s="339"/>
      <c r="AM8" s="347"/>
      <c r="AN8" s="167" t="s">
        <v>17</v>
      </c>
      <c r="AO8" s="339"/>
      <c r="AP8" s="339"/>
      <c r="AQ8" s="339"/>
      <c r="AR8" s="339"/>
      <c r="AS8" s="339"/>
      <c r="AT8" s="167" t="s">
        <v>24</v>
      </c>
      <c r="AU8" s="347"/>
      <c r="AV8" s="336"/>
      <c r="AW8" s="347"/>
      <c r="AX8" s="349"/>
      <c r="AY8" s="350"/>
      <c r="AZ8" s="347"/>
      <c r="BA8" s="347"/>
      <c r="BB8" s="347"/>
      <c r="BC8" s="347"/>
      <c r="BD8" s="347"/>
      <c r="BE8" s="167" t="s">
        <v>17</v>
      </c>
      <c r="BF8" s="339"/>
      <c r="BG8" s="198"/>
      <c r="BH8" s="167"/>
      <c r="BI8" s="167"/>
      <c r="BJ8" s="339"/>
      <c r="BK8" s="339"/>
      <c r="BL8" s="339"/>
      <c r="BN8" s="339"/>
      <c r="BO8" s="339"/>
      <c r="BP8" s="339"/>
      <c r="BQ8" s="339"/>
      <c r="BR8" s="339"/>
      <c r="BS8" s="339"/>
      <c r="BT8" s="167" t="s">
        <v>17</v>
      </c>
      <c r="BU8" s="339"/>
      <c r="BV8" s="198"/>
      <c r="BW8" s="167"/>
      <c r="BX8" s="167"/>
      <c r="BY8" s="339"/>
      <c r="BZ8" s="339"/>
      <c r="CA8" s="339"/>
      <c r="CB8" s="339"/>
      <c r="CC8" s="339"/>
      <c r="CD8" s="339"/>
      <c r="CE8" s="339"/>
      <c r="CF8" s="339"/>
      <c r="CG8" s="167" t="s">
        <v>17</v>
      </c>
      <c r="DA8" s="351"/>
      <c r="DB8" s="351"/>
    </row>
    <row r="9" spans="1:106">
      <c r="A9" s="185"/>
      <c r="E9" s="185"/>
      <c r="G9" s="339"/>
      <c r="H9" s="339"/>
      <c r="L9" s="339"/>
      <c r="M9" s="167" t="s">
        <v>20</v>
      </c>
      <c r="N9" s="167" t="s">
        <v>23</v>
      </c>
      <c r="O9" s="198" t="s">
        <v>23</v>
      </c>
      <c r="P9" s="352" t="s">
        <v>21</v>
      </c>
      <c r="Q9" s="352" t="s">
        <v>21</v>
      </c>
      <c r="R9" s="353" t="s">
        <v>20</v>
      </c>
      <c r="S9" s="354" t="s">
        <v>97</v>
      </c>
      <c r="T9" s="167" t="s">
        <v>31</v>
      </c>
      <c r="U9" s="353" t="s">
        <v>20</v>
      </c>
      <c r="V9" s="167"/>
      <c r="W9" s="354" t="s">
        <v>96</v>
      </c>
      <c r="X9" s="339"/>
      <c r="Y9" s="336" t="s">
        <v>35</v>
      </c>
      <c r="Z9" s="167"/>
      <c r="AA9" s="167" t="s">
        <v>20</v>
      </c>
      <c r="AB9" s="167" t="s">
        <v>14</v>
      </c>
      <c r="AC9" s="339"/>
      <c r="AD9" s="339"/>
      <c r="AE9" s="339"/>
      <c r="AF9" s="354" t="s">
        <v>20</v>
      </c>
      <c r="AG9" s="353" t="s">
        <v>20</v>
      </c>
      <c r="AH9" s="354" t="s">
        <v>17</v>
      </c>
      <c r="AI9" s="339"/>
      <c r="AJ9" s="336" t="s">
        <v>35</v>
      </c>
      <c r="AK9" s="167"/>
      <c r="AL9" s="167" t="s">
        <v>22</v>
      </c>
      <c r="AM9" s="339"/>
      <c r="AN9" s="167" t="s">
        <v>14</v>
      </c>
      <c r="AO9" s="339"/>
      <c r="AP9" s="339"/>
      <c r="AQ9" s="339"/>
      <c r="AR9" s="354" t="s">
        <v>20</v>
      </c>
      <c r="AS9" s="167" t="s">
        <v>20</v>
      </c>
      <c r="AT9" s="167" t="s">
        <v>36</v>
      </c>
      <c r="AU9" s="167" t="s">
        <v>24</v>
      </c>
      <c r="AV9" s="352" t="s">
        <v>37</v>
      </c>
      <c r="AW9" s="352" t="s">
        <v>37</v>
      </c>
      <c r="AX9" s="349"/>
      <c r="AY9" s="355"/>
      <c r="AZ9" s="167" t="s">
        <v>17</v>
      </c>
      <c r="BA9" s="339"/>
      <c r="BB9" s="167" t="s">
        <v>22</v>
      </c>
      <c r="BC9" s="167" t="s">
        <v>39</v>
      </c>
      <c r="BD9" s="198" t="s">
        <v>17</v>
      </c>
      <c r="BE9" s="167" t="s">
        <v>14</v>
      </c>
      <c r="BF9" s="339"/>
      <c r="BG9" s="198"/>
      <c r="BH9" s="167"/>
      <c r="BI9" s="167"/>
      <c r="BJ9" s="167" t="s">
        <v>20</v>
      </c>
      <c r="BK9" s="339"/>
      <c r="BL9" s="167" t="s">
        <v>23</v>
      </c>
      <c r="BM9" s="336" t="s">
        <v>24</v>
      </c>
      <c r="BN9" s="198" t="s">
        <v>24</v>
      </c>
      <c r="BO9" s="198"/>
      <c r="BP9" s="167" t="s">
        <v>20</v>
      </c>
      <c r="BQ9" s="339"/>
      <c r="BR9" s="167" t="s">
        <v>26</v>
      </c>
      <c r="BS9" s="198"/>
      <c r="BT9" s="167" t="s">
        <v>14</v>
      </c>
      <c r="BU9" s="339"/>
      <c r="BV9" s="198"/>
      <c r="BW9" s="167"/>
      <c r="BX9" s="167" t="s">
        <v>20</v>
      </c>
      <c r="BY9" s="167" t="s">
        <v>20</v>
      </c>
      <c r="BZ9" s="167" t="s">
        <v>24</v>
      </c>
      <c r="CA9" s="167" t="s">
        <v>20</v>
      </c>
      <c r="CB9" s="339"/>
      <c r="CC9" s="167" t="s">
        <v>22</v>
      </c>
      <c r="CD9" s="167" t="s">
        <v>39</v>
      </c>
      <c r="CE9" s="167"/>
      <c r="CF9" s="198"/>
      <c r="CG9" s="167" t="s">
        <v>14</v>
      </c>
    </row>
    <row r="10" spans="1:106">
      <c r="A10" s="185" t="s">
        <v>104</v>
      </c>
      <c r="C10" s="356">
        <f>+'Gas Input Table Summary'!$D$7</f>
        <v>5.9719999999999995</v>
      </c>
      <c r="D10" s="357"/>
      <c r="E10" s="185" t="s">
        <v>16</v>
      </c>
      <c r="G10" s="339"/>
      <c r="H10" s="339"/>
      <c r="J10" s="358"/>
      <c r="L10" s="339"/>
      <c r="M10" s="167" t="s">
        <v>28</v>
      </c>
      <c r="N10" s="167" t="s">
        <v>29</v>
      </c>
      <c r="O10" s="198" t="s">
        <v>29</v>
      </c>
      <c r="P10" s="352" t="s">
        <v>30</v>
      </c>
      <c r="Q10" s="352" t="s">
        <v>30</v>
      </c>
      <c r="R10" s="353" t="s">
        <v>36</v>
      </c>
      <c r="S10" s="167" t="s">
        <v>31</v>
      </c>
      <c r="T10" s="167" t="s">
        <v>38</v>
      </c>
      <c r="U10" s="353" t="s">
        <v>31</v>
      </c>
      <c r="V10" s="167" t="s">
        <v>20</v>
      </c>
      <c r="W10" s="167" t="s">
        <v>118</v>
      </c>
      <c r="X10" s="167" t="s">
        <v>92</v>
      </c>
      <c r="Y10" s="336" t="s">
        <v>144</v>
      </c>
      <c r="Z10" s="167" t="s">
        <v>117</v>
      </c>
      <c r="AA10" s="167" t="s">
        <v>35</v>
      </c>
      <c r="AB10" s="167" t="s">
        <v>34</v>
      </c>
      <c r="AC10" s="339"/>
      <c r="AD10" s="339"/>
      <c r="AE10" s="339"/>
      <c r="AF10" s="354" t="s">
        <v>36</v>
      </c>
      <c r="AG10" s="353" t="s">
        <v>31</v>
      </c>
      <c r="AH10" s="354" t="s">
        <v>20</v>
      </c>
      <c r="AI10" s="339"/>
      <c r="AJ10" s="336" t="s">
        <v>144</v>
      </c>
      <c r="AK10" s="167" t="s">
        <v>117</v>
      </c>
      <c r="AL10" s="167" t="s">
        <v>35</v>
      </c>
      <c r="AM10" s="339"/>
      <c r="AN10" s="167" t="s">
        <v>34</v>
      </c>
      <c r="AO10" s="339"/>
      <c r="AP10" s="339"/>
      <c r="AQ10" s="339"/>
      <c r="AR10" s="167" t="s">
        <v>28</v>
      </c>
      <c r="AS10" s="167" t="s">
        <v>131</v>
      </c>
      <c r="AT10" s="167" t="s">
        <v>38</v>
      </c>
      <c r="AU10" s="167" t="s">
        <v>36</v>
      </c>
      <c r="AV10" s="198" t="s">
        <v>99</v>
      </c>
      <c r="AW10" s="359" t="s">
        <v>99</v>
      </c>
      <c r="AX10" s="349"/>
      <c r="AY10" s="360"/>
      <c r="AZ10" s="167" t="s">
        <v>20</v>
      </c>
      <c r="BA10" s="339"/>
      <c r="BB10" s="167" t="s">
        <v>35</v>
      </c>
      <c r="BC10" s="354" t="s">
        <v>100</v>
      </c>
      <c r="BD10" s="198" t="s">
        <v>20</v>
      </c>
      <c r="BE10" s="167" t="s">
        <v>34</v>
      </c>
      <c r="BF10" s="339"/>
      <c r="BG10" s="198"/>
      <c r="BH10" s="167"/>
      <c r="BI10" s="167" t="s">
        <v>25</v>
      </c>
      <c r="BJ10" s="167" t="s">
        <v>28</v>
      </c>
      <c r="BK10" s="167" t="s">
        <v>32</v>
      </c>
      <c r="BL10" s="167" t="s">
        <v>33</v>
      </c>
      <c r="BM10" s="336" t="s">
        <v>136</v>
      </c>
      <c r="BN10" s="167" t="s">
        <v>36</v>
      </c>
      <c r="BO10" s="167"/>
      <c r="BP10" s="167" t="s">
        <v>17</v>
      </c>
      <c r="BQ10" s="339"/>
      <c r="BR10" s="167" t="s">
        <v>112</v>
      </c>
      <c r="BS10" s="167"/>
      <c r="BT10" s="167" t="s">
        <v>34</v>
      </c>
      <c r="BU10" s="339"/>
      <c r="BV10" s="198"/>
      <c r="BW10" s="167"/>
      <c r="BX10" s="167" t="s">
        <v>28</v>
      </c>
      <c r="BY10" s="167" t="s">
        <v>31</v>
      </c>
      <c r="BZ10" s="167" t="s">
        <v>36</v>
      </c>
      <c r="CA10" s="167" t="s">
        <v>17</v>
      </c>
      <c r="CB10" s="339"/>
      <c r="CC10" s="167" t="s">
        <v>35</v>
      </c>
      <c r="CD10" s="354" t="s">
        <v>100</v>
      </c>
      <c r="CE10" s="167" t="s">
        <v>20</v>
      </c>
      <c r="CF10" s="167"/>
      <c r="CG10" s="167" t="s">
        <v>34</v>
      </c>
    </row>
    <row r="11" spans="1:106">
      <c r="A11" s="185" t="s">
        <v>18</v>
      </c>
      <c r="C11" s="361">
        <f>+'Gas Input Table Summary'!$D$8</f>
        <v>3.5000000000000003E-2</v>
      </c>
      <c r="E11" s="185" t="s">
        <v>19</v>
      </c>
      <c r="F11" s="195">
        <f>+'Total Program Inputs'!K13</f>
        <v>29</v>
      </c>
      <c r="G11" s="538"/>
      <c r="H11" s="538"/>
      <c r="J11" s="337" t="s">
        <v>42</v>
      </c>
      <c r="L11" s="339"/>
      <c r="M11" s="167" t="s">
        <v>44</v>
      </c>
      <c r="N11" s="198" t="s">
        <v>107</v>
      </c>
      <c r="O11" s="198" t="s">
        <v>38</v>
      </c>
      <c r="P11" s="352" t="s">
        <v>107</v>
      </c>
      <c r="Q11" s="352" t="s">
        <v>38</v>
      </c>
      <c r="R11" s="353" t="s">
        <v>38</v>
      </c>
      <c r="S11" s="167" t="s">
        <v>44</v>
      </c>
      <c r="T11" s="198" t="s">
        <v>95</v>
      </c>
      <c r="U11" s="353" t="s">
        <v>38</v>
      </c>
      <c r="V11" s="167" t="s">
        <v>38</v>
      </c>
      <c r="W11" s="167" t="s">
        <v>119</v>
      </c>
      <c r="X11" s="167" t="s">
        <v>93</v>
      </c>
      <c r="Y11" s="336" t="s">
        <v>15</v>
      </c>
      <c r="Z11" s="167" t="s">
        <v>15</v>
      </c>
      <c r="AA11" s="167" t="s">
        <v>15</v>
      </c>
      <c r="AB11" s="167" t="s">
        <v>15</v>
      </c>
      <c r="AC11" s="339"/>
      <c r="AD11" s="339"/>
      <c r="AF11" s="167" t="s">
        <v>38</v>
      </c>
      <c r="AG11" s="353" t="s">
        <v>38</v>
      </c>
      <c r="AH11" s="353" t="s">
        <v>38</v>
      </c>
      <c r="AI11" s="339"/>
      <c r="AJ11" s="336" t="s">
        <v>15</v>
      </c>
      <c r="AK11" s="167" t="s">
        <v>15</v>
      </c>
      <c r="AL11" s="167" t="s">
        <v>15</v>
      </c>
      <c r="AM11" s="339"/>
      <c r="AN11" s="167" t="s">
        <v>15</v>
      </c>
      <c r="AO11" s="339"/>
      <c r="AP11" s="339"/>
      <c r="AR11" s="167" t="s">
        <v>38</v>
      </c>
      <c r="AS11" s="167" t="s">
        <v>38</v>
      </c>
      <c r="AT11" s="336" t="s">
        <v>133</v>
      </c>
      <c r="AU11" s="167" t="s">
        <v>38</v>
      </c>
      <c r="AV11" s="362" t="s">
        <v>132</v>
      </c>
      <c r="AW11" s="362" t="s">
        <v>38</v>
      </c>
      <c r="AX11" s="349"/>
      <c r="AY11" s="360"/>
      <c r="AZ11" s="354" t="s">
        <v>38</v>
      </c>
      <c r="BA11" s="339"/>
      <c r="BB11" s="167" t="s">
        <v>15</v>
      </c>
      <c r="BC11" s="363" t="s">
        <v>101</v>
      </c>
      <c r="BD11" s="359" t="s">
        <v>15</v>
      </c>
      <c r="BE11" s="167" t="s">
        <v>15</v>
      </c>
      <c r="BF11" s="339"/>
      <c r="BH11" s="167"/>
      <c r="BI11" s="167" t="s">
        <v>46</v>
      </c>
      <c r="BJ11" s="167" t="s">
        <v>44</v>
      </c>
      <c r="BK11" s="167" t="s">
        <v>45</v>
      </c>
      <c r="BL11" s="167" t="s">
        <v>38</v>
      </c>
      <c r="BM11" s="336" t="s">
        <v>0</v>
      </c>
      <c r="BN11" s="167" t="s">
        <v>38</v>
      </c>
      <c r="BO11" s="167"/>
      <c r="BP11" s="167" t="s">
        <v>14</v>
      </c>
      <c r="BQ11" s="339"/>
      <c r="BR11" s="167" t="s">
        <v>15</v>
      </c>
      <c r="BS11" s="167"/>
      <c r="BT11" s="167" t="s">
        <v>15</v>
      </c>
      <c r="BU11" s="339"/>
      <c r="BW11" s="167"/>
      <c r="BX11" s="167" t="s">
        <v>38</v>
      </c>
      <c r="BY11" s="167" t="s">
        <v>38</v>
      </c>
      <c r="BZ11" s="167" t="s">
        <v>38</v>
      </c>
      <c r="CA11" s="167" t="s">
        <v>14</v>
      </c>
      <c r="CB11" s="339"/>
      <c r="CC11" s="167" t="s">
        <v>15</v>
      </c>
      <c r="CD11" s="363" t="s">
        <v>101</v>
      </c>
      <c r="CE11" s="167" t="s">
        <v>15</v>
      </c>
      <c r="CF11" s="167"/>
      <c r="CG11" s="167" t="s">
        <v>15</v>
      </c>
    </row>
    <row r="12" spans="1:106">
      <c r="A12" s="185"/>
      <c r="C12" s="361"/>
      <c r="E12" s="185" t="s">
        <v>27</v>
      </c>
      <c r="F12" s="320">
        <f>+'Total Program Inputs'!G13</f>
        <v>400</v>
      </c>
      <c r="G12" s="540"/>
      <c r="H12" s="540"/>
      <c r="J12" s="333"/>
      <c r="L12" s="184" t="s">
        <v>43</v>
      </c>
      <c r="M12" s="170" t="s">
        <v>48</v>
      </c>
      <c r="N12" s="170" t="s">
        <v>49</v>
      </c>
      <c r="O12" s="170" t="s">
        <v>50</v>
      </c>
      <c r="P12" s="170" t="s">
        <v>51</v>
      </c>
      <c r="Q12" s="170" t="s">
        <v>52</v>
      </c>
      <c r="R12" s="170" t="s">
        <v>53</v>
      </c>
      <c r="S12" s="170" t="s">
        <v>54</v>
      </c>
      <c r="T12" s="170" t="s">
        <v>55</v>
      </c>
      <c r="U12" s="170" t="s">
        <v>56</v>
      </c>
      <c r="V12" s="170" t="s">
        <v>57</v>
      </c>
      <c r="W12" s="170" t="s">
        <v>58</v>
      </c>
      <c r="X12" s="170" t="s">
        <v>59</v>
      </c>
      <c r="Y12" s="170" t="s">
        <v>60</v>
      </c>
      <c r="Z12" s="170" t="s">
        <v>61</v>
      </c>
      <c r="AA12" s="170" t="s">
        <v>137</v>
      </c>
      <c r="AB12" s="170" t="s">
        <v>145</v>
      </c>
      <c r="AE12" s="184" t="s">
        <v>43</v>
      </c>
      <c r="AF12" s="170" t="s">
        <v>48</v>
      </c>
      <c r="AG12" s="170" t="s">
        <v>49</v>
      </c>
      <c r="AH12" s="170" t="s">
        <v>50</v>
      </c>
      <c r="AJ12" s="170" t="s">
        <v>51</v>
      </c>
      <c r="AK12" s="170" t="s">
        <v>52</v>
      </c>
      <c r="AL12" s="170" t="s">
        <v>53</v>
      </c>
      <c r="AN12" s="170" t="s">
        <v>54</v>
      </c>
      <c r="AQ12" s="184" t="s">
        <v>43</v>
      </c>
      <c r="AR12" s="170" t="s">
        <v>48</v>
      </c>
      <c r="AS12" s="170" t="s">
        <v>49</v>
      </c>
      <c r="AT12" s="170" t="s">
        <v>50</v>
      </c>
      <c r="AU12" s="170" t="s">
        <v>51</v>
      </c>
      <c r="AV12" s="170" t="s">
        <v>52</v>
      </c>
      <c r="AW12" s="170" t="s">
        <v>53</v>
      </c>
      <c r="AX12" s="364"/>
      <c r="AY12" s="364"/>
      <c r="AZ12" s="170" t="s">
        <v>54</v>
      </c>
      <c r="BA12" s="339"/>
      <c r="BB12" s="170" t="s">
        <v>55</v>
      </c>
      <c r="BC12" s="170" t="s">
        <v>56</v>
      </c>
      <c r="BD12" s="170" t="s">
        <v>57</v>
      </c>
      <c r="BE12" s="170" t="s">
        <v>58</v>
      </c>
      <c r="BH12" s="184" t="s">
        <v>43</v>
      </c>
      <c r="BI12" s="170" t="s">
        <v>48</v>
      </c>
      <c r="BJ12" s="170" t="s">
        <v>49</v>
      </c>
      <c r="BK12" s="170" t="s">
        <v>50</v>
      </c>
      <c r="BL12" s="170" t="s">
        <v>51</v>
      </c>
      <c r="BM12" s="170" t="s">
        <v>52</v>
      </c>
      <c r="BN12" s="170" t="s">
        <v>53</v>
      </c>
      <c r="BO12" s="170"/>
      <c r="BP12" s="170" t="s">
        <v>54</v>
      </c>
      <c r="BR12" s="170" t="s">
        <v>55</v>
      </c>
      <c r="BS12" s="198"/>
      <c r="BT12" s="170" t="s">
        <v>56</v>
      </c>
      <c r="BW12" s="184" t="s">
        <v>43</v>
      </c>
      <c r="BX12" s="170" t="s">
        <v>48</v>
      </c>
      <c r="BY12" s="170" t="s">
        <v>49</v>
      </c>
      <c r="BZ12" s="170" t="s">
        <v>50</v>
      </c>
      <c r="CA12" s="170" t="s">
        <v>51</v>
      </c>
      <c r="CC12" s="170" t="s">
        <v>52</v>
      </c>
      <c r="CD12" s="170" t="s">
        <v>53</v>
      </c>
      <c r="CE12" s="170" t="s">
        <v>54</v>
      </c>
      <c r="CF12" s="198"/>
      <c r="CG12" s="170" t="s">
        <v>55</v>
      </c>
    </row>
    <row r="13" spans="1:106">
      <c r="A13" s="185" t="s">
        <v>40</v>
      </c>
      <c r="C13" s="365">
        <f>+'Gas Input Table Summary'!$D$9</f>
        <v>0.14205999999999999</v>
      </c>
      <c r="E13" s="185" t="s">
        <v>41</v>
      </c>
      <c r="F13" s="357">
        <f>SUM(F11:F12)</f>
        <v>429</v>
      </c>
      <c r="G13" s="374"/>
      <c r="H13" s="374"/>
      <c r="J13" s="366"/>
      <c r="L13" s="366"/>
      <c r="M13" s="366"/>
      <c r="N13" s="366"/>
      <c r="Q13" s="366"/>
      <c r="R13" s="321"/>
      <c r="S13" s="366"/>
      <c r="T13" s="366"/>
      <c r="V13" s="167"/>
      <c r="W13" s="366"/>
      <c r="X13" s="366"/>
      <c r="Z13" s="366"/>
      <c r="AA13" s="366"/>
      <c r="AB13" s="366"/>
      <c r="AE13" s="366"/>
      <c r="AF13" s="366"/>
      <c r="AH13" s="366"/>
      <c r="AL13" s="366"/>
      <c r="AN13" s="366"/>
      <c r="AQ13" s="366"/>
      <c r="AR13" s="366"/>
      <c r="AS13" s="366"/>
      <c r="AU13" s="366"/>
      <c r="AW13" s="334"/>
      <c r="AX13" s="274"/>
      <c r="AY13" s="367"/>
      <c r="AZ13" s="366"/>
      <c r="BB13" s="366"/>
      <c r="BC13" s="366"/>
      <c r="BD13" s="366"/>
      <c r="BE13" s="366"/>
      <c r="BH13" s="366"/>
      <c r="BI13" s="366"/>
      <c r="BJ13" s="366"/>
      <c r="BK13" s="366"/>
      <c r="BL13" s="366"/>
      <c r="BN13" s="366"/>
      <c r="BO13" s="366"/>
      <c r="BP13" s="366"/>
      <c r="BR13" s="366"/>
      <c r="BS13" s="366"/>
      <c r="BT13" s="366"/>
      <c r="BW13" s="366"/>
      <c r="BX13" s="366"/>
      <c r="BY13" s="366"/>
      <c r="BZ13" s="366"/>
      <c r="CA13" s="366"/>
      <c r="CC13" s="366"/>
      <c r="CD13" s="366"/>
      <c r="CE13" s="366"/>
      <c r="CF13" s="366"/>
      <c r="CG13" s="366"/>
    </row>
    <row r="14" spans="1:106">
      <c r="A14" s="185" t="s">
        <v>47</v>
      </c>
      <c r="C14" s="361">
        <f>+'Gas Input Table Summary'!$D$10</f>
        <v>3.5000000000000003E-2</v>
      </c>
      <c r="F14" s="368"/>
      <c r="G14" s="419"/>
      <c r="H14" s="419"/>
      <c r="J14" s="333">
        <f>$C$47-$C$45</f>
        <v>1</v>
      </c>
      <c r="L14" s="366">
        <f>$C$47</f>
        <v>2015</v>
      </c>
      <c r="M14" s="369">
        <f>ROUND(IF($C$47+$F$23&gt;L14,F25*F30,0),0)</f>
        <v>18</v>
      </c>
      <c r="N14" s="370">
        <f>ROUND($C$17*(1),3)</f>
        <v>2.577</v>
      </c>
      <c r="O14" s="357">
        <f t="shared" ref="O14:O34" si="0">ROUND(M14*N14,0)</f>
        <v>46</v>
      </c>
      <c r="P14" s="370">
        <f t="shared" ref="P14:P34" si="1">ROUND($C$25*(1+$C$26)^J14,3)</f>
        <v>0</v>
      </c>
      <c r="Q14" s="357">
        <f>ROUND(M14*P14,0)</f>
        <v>0</v>
      </c>
      <c r="R14" s="371">
        <f t="shared" ref="R14:R34" si="2">O14+Q14</f>
        <v>46</v>
      </c>
      <c r="S14" s="372">
        <f t="shared" ref="S14:S34" si="3">ROUND(M14*$C$23,1)</f>
        <v>0.2</v>
      </c>
      <c r="T14" s="357">
        <f>ROUND($C$20*(1),0)</f>
        <v>142</v>
      </c>
      <c r="U14" s="373">
        <f>ROUND(S14*T14,0)</f>
        <v>28</v>
      </c>
      <c r="V14" s="374">
        <f>ROUND(+U14+R14,0)</f>
        <v>74</v>
      </c>
      <c r="W14" s="375">
        <f t="shared" ref="W14:W34" si="4">ROUND($H$36*(1+$C$11)^J14,3)</f>
        <v>1.8049999999999999</v>
      </c>
      <c r="X14" s="376">
        <f t="shared" ref="X14:X34" si="5">ROUND((1-$H$38)*(W14*M14),0)</f>
        <v>21</v>
      </c>
      <c r="Y14" s="377">
        <f>ROUND($F$11,0)</f>
        <v>29</v>
      </c>
      <c r="Z14" s="377">
        <f>ROUND($F$12,0)</f>
        <v>400</v>
      </c>
      <c r="AA14" s="377">
        <f t="shared" ref="AA14:AA34" si="6">SUM(X14:Z14)</f>
        <v>450</v>
      </c>
      <c r="AB14" s="357">
        <f t="shared" ref="AB14:AB34" si="7">V14-AA14</f>
        <v>-376</v>
      </c>
      <c r="AE14" s="366">
        <f>$C$47</f>
        <v>2015</v>
      </c>
      <c r="AF14" s="357">
        <f t="shared" ref="AF14:AF34" si="8">+R14</f>
        <v>46</v>
      </c>
      <c r="AG14" s="378">
        <f t="shared" ref="AG14:AG34" si="9">+U14</f>
        <v>28</v>
      </c>
      <c r="AH14" s="377">
        <f>+AG14+AF14</f>
        <v>74</v>
      </c>
      <c r="AJ14" s="378">
        <f>ROUND(Y14,0)</f>
        <v>29</v>
      </c>
      <c r="AK14" s="378">
        <f>ROUND(Z14,0)</f>
        <v>400</v>
      </c>
      <c r="AL14" s="357">
        <f t="shared" ref="AL14:AL34" si="10">SUM(AJ14:AK14)</f>
        <v>429</v>
      </c>
      <c r="AN14" s="357">
        <f t="shared" ref="AN14:AN34" si="11">+AH14-AL14</f>
        <v>-355</v>
      </c>
      <c r="AQ14" s="366">
        <f>$C$47</f>
        <v>2015</v>
      </c>
      <c r="AR14" s="357">
        <f t="shared" ref="AR14:AR34" si="12">AF14</f>
        <v>46</v>
      </c>
      <c r="AS14" s="357">
        <f t="shared" ref="AS14:AS34" si="13">+AG14</f>
        <v>28</v>
      </c>
      <c r="AT14" s="379">
        <f t="shared" ref="AT14:AT34" si="14">ROUND(($C$28/(1-$C$31))*(1+$C$29)^J14,3)</f>
        <v>2.4E-2</v>
      </c>
      <c r="AU14" s="380">
        <f>ROUND(IF($C$47+$F$23&gt;$AQ14,$F$30*$F$27,0)*AT14,0)</f>
        <v>0</v>
      </c>
      <c r="AV14" s="370">
        <f t="shared" ref="AV14:AV34" si="15">ROUND($C$33*(1+$C$34)^J14,3)</f>
        <v>0.35799999999999998</v>
      </c>
      <c r="AW14" s="357">
        <f t="shared" ref="AW14:AW34" si="16">ROUND(AV14*M14,0)</f>
        <v>6</v>
      </c>
      <c r="AX14" s="379"/>
      <c r="AY14" s="380"/>
      <c r="AZ14" s="357">
        <f>ROUND(AR14+AS14+AU14+AW14+AY14,0)</f>
        <v>80</v>
      </c>
      <c r="BA14" s="381"/>
      <c r="BB14" s="377">
        <f>ROUND($F$13,0)</f>
        <v>429</v>
      </c>
      <c r="BC14" s="377">
        <f>ROUND((F15*F30)-Z14,0)</f>
        <v>0</v>
      </c>
      <c r="BD14" s="382">
        <f>BB14+BC14</f>
        <v>429</v>
      </c>
      <c r="BE14" s="377">
        <f t="shared" ref="BE14:BE34" si="17">AZ14-BD14</f>
        <v>-349</v>
      </c>
      <c r="BH14" s="366">
        <f>$C$47</f>
        <v>2015</v>
      </c>
      <c r="BI14" s="357">
        <f>+F12</f>
        <v>400</v>
      </c>
      <c r="BJ14" s="369">
        <f t="shared" ref="BJ14:BJ34" si="18">+M14</f>
        <v>18</v>
      </c>
      <c r="BK14" s="383">
        <f t="shared" ref="BK14:BK34" si="19">ROUND($C$10*(1+$C$11)^J14,3)</f>
        <v>6.181</v>
      </c>
      <c r="BL14" s="357">
        <f>ROUND(BJ14*BK14,0)</f>
        <v>111</v>
      </c>
      <c r="BM14" s="383">
        <f t="shared" ref="BM14:BM34" si="20">ROUND($C$13*(1+$C$14)^J14,3)</f>
        <v>0.14699999999999999</v>
      </c>
      <c r="BN14" s="380">
        <f>ROUND(IF($C$47+$F$23&gt;$BH14,$F$30*$F$27,0)*BM14,0)</f>
        <v>0</v>
      </c>
      <c r="BO14" s="380"/>
      <c r="BP14" s="357">
        <f t="shared" ref="BP14:BP34" si="21">BI14+BL14+BN14+BO14</f>
        <v>511</v>
      </c>
      <c r="BR14" s="357">
        <f>ROUND(F15*F30,0)</f>
        <v>400</v>
      </c>
      <c r="BS14" s="357"/>
      <c r="BT14" s="357">
        <f>BP14-BR14</f>
        <v>111</v>
      </c>
      <c r="BW14" s="366">
        <f>$C$47</f>
        <v>2015</v>
      </c>
      <c r="BX14" s="357">
        <f t="shared" ref="BX14:BX34" si="22">$R14</f>
        <v>46</v>
      </c>
      <c r="BY14" s="357">
        <f>U14</f>
        <v>28</v>
      </c>
      <c r="BZ14" s="384">
        <f>AU14</f>
        <v>0</v>
      </c>
      <c r="CA14" s="357">
        <f>SUM(BX14:BZ14)</f>
        <v>74</v>
      </c>
      <c r="CC14" s="357">
        <f>BB14</f>
        <v>429</v>
      </c>
      <c r="CD14" s="357">
        <f>BC14</f>
        <v>0</v>
      </c>
      <c r="CE14" s="357">
        <f>SUM(CC14:CD14)</f>
        <v>429</v>
      </c>
      <c r="CF14" s="357"/>
      <c r="CG14" s="357">
        <f>CA14-CE14</f>
        <v>-355</v>
      </c>
    </row>
    <row r="15" spans="1:106">
      <c r="A15" s="185" t="s">
        <v>62</v>
      </c>
      <c r="C15" s="188" t="str">
        <f>+'Gas Input Table Summary'!$D$11</f>
        <v>Kwh</v>
      </c>
      <c r="E15" s="185" t="s">
        <v>63</v>
      </c>
      <c r="F15" s="385">
        <f>ROUND('Database Inputs'!K12,0)</f>
        <v>100</v>
      </c>
      <c r="G15" s="385"/>
      <c r="H15" s="385"/>
      <c r="J15" s="333">
        <f t="shared" ref="J15:J34" si="23">J14+1</f>
        <v>2</v>
      </c>
      <c r="L15" s="366">
        <f t="shared" ref="L15:L34" si="24">L14+1</f>
        <v>2016</v>
      </c>
      <c r="M15" s="386">
        <f>ROUND(IF($C$47+$F$23&gt;L15,$F$25*$F$30,0)+IF($C$48+$G$23&gt;L15,$G$25*$G$30,0),0)</f>
        <v>18</v>
      </c>
      <c r="N15" s="387">
        <f>ROUND($C$17*(1+$C$18)^J14,3)</f>
        <v>2.6669999999999998</v>
      </c>
      <c r="O15" s="388">
        <f t="shared" si="0"/>
        <v>48</v>
      </c>
      <c r="P15" s="387">
        <f t="shared" si="1"/>
        <v>0</v>
      </c>
      <c r="Q15" s="389">
        <f t="shared" ref="Q15:Q34" si="25">ROUND(M15*P15,0)</f>
        <v>0</v>
      </c>
      <c r="R15" s="390">
        <f t="shared" si="2"/>
        <v>48</v>
      </c>
      <c r="S15" s="372">
        <f t="shared" si="3"/>
        <v>0.2</v>
      </c>
      <c r="T15" s="389">
        <f>ROUND($C$20*(1+$C$21)^J14,0)</f>
        <v>144</v>
      </c>
      <c r="U15" s="391">
        <f>ROUND(S15*T15,0)</f>
        <v>29</v>
      </c>
      <c r="V15" s="386">
        <f t="shared" ref="V15:V34" si="26">ROUND(+U15+R15,0)</f>
        <v>77</v>
      </c>
      <c r="W15" s="392">
        <f t="shared" si="4"/>
        <v>1.8680000000000001</v>
      </c>
      <c r="X15" s="393">
        <f t="shared" si="5"/>
        <v>22</v>
      </c>
      <c r="Y15" s="393">
        <f>ROUND($G$11,0)</f>
        <v>0</v>
      </c>
      <c r="Z15" s="393">
        <f>ROUND($G$12,0)</f>
        <v>0</v>
      </c>
      <c r="AA15" s="389">
        <f t="shared" si="6"/>
        <v>22</v>
      </c>
      <c r="AB15" s="393">
        <f t="shared" si="7"/>
        <v>55</v>
      </c>
      <c r="AE15" s="366">
        <f t="shared" ref="AE15:AE34" si="27">AE14+1</f>
        <v>2016</v>
      </c>
      <c r="AF15" s="393">
        <f t="shared" si="8"/>
        <v>48</v>
      </c>
      <c r="AG15" s="368">
        <f t="shared" si="9"/>
        <v>29</v>
      </c>
      <c r="AH15" s="393">
        <f>+AG15+AF15</f>
        <v>77</v>
      </c>
      <c r="AJ15" s="394">
        <f t="shared" ref="AJ15:AK34" si="28">ROUND(Y15,0)</f>
        <v>0</v>
      </c>
      <c r="AK15" s="394">
        <f t="shared" si="28"/>
        <v>0</v>
      </c>
      <c r="AL15" s="395">
        <f t="shared" si="10"/>
        <v>0</v>
      </c>
      <c r="AN15" s="396">
        <f t="shared" si="11"/>
        <v>77</v>
      </c>
      <c r="AQ15" s="366">
        <f t="shared" ref="AQ15:AQ34" si="29">AQ14+1</f>
        <v>2016</v>
      </c>
      <c r="AR15" s="393">
        <f t="shared" si="12"/>
        <v>48</v>
      </c>
      <c r="AS15" s="393">
        <f t="shared" si="13"/>
        <v>29</v>
      </c>
      <c r="AT15" s="397">
        <f t="shared" si="14"/>
        <v>2.5000000000000001E-2</v>
      </c>
      <c r="AU15" s="398">
        <f>ROUND((IF($C$47+$F$23&gt;$AQ15,$F$27*$F$30,0)+IF($C$48+$G$23&gt;AQ15,$G$27*$G$30,0))*AT15,0)</f>
        <v>0</v>
      </c>
      <c r="AV15" s="387">
        <f t="shared" si="15"/>
        <v>0.36599999999999999</v>
      </c>
      <c r="AW15" s="393">
        <f t="shared" si="16"/>
        <v>7</v>
      </c>
      <c r="AX15" s="397"/>
      <c r="AY15" s="399"/>
      <c r="AZ15" s="393">
        <f t="shared" ref="AZ15:AZ34" si="30">ROUND(AR15+AS15+AU15+AW15+AY15,0)</f>
        <v>84</v>
      </c>
      <c r="BA15" s="381"/>
      <c r="BB15" s="393">
        <f>ROUND($G$13,0)</f>
        <v>0</v>
      </c>
      <c r="BC15" s="393">
        <f>ROUND(($G$15*$G$30)-$Z$15,0)</f>
        <v>0</v>
      </c>
      <c r="BD15" s="400">
        <f t="shared" ref="BD15:BD34" si="31">BB15+BC15</f>
        <v>0</v>
      </c>
      <c r="BE15" s="393">
        <f t="shared" si="17"/>
        <v>84</v>
      </c>
      <c r="BH15" s="366">
        <f t="shared" ref="BH15:BH34" si="32">BH14+1</f>
        <v>2016</v>
      </c>
      <c r="BI15" s="393">
        <f>+G12</f>
        <v>0</v>
      </c>
      <c r="BJ15" s="369">
        <f t="shared" si="18"/>
        <v>18</v>
      </c>
      <c r="BK15" s="401">
        <f t="shared" si="19"/>
        <v>6.3970000000000002</v>
      </c>
      <c r="BL15" s="393">
        <f>ROUND(BJ15*BK15,0)</f>
        <v>115</v>
      </c>
      <c r="BM15" s="401">
        <f t="shared" si="20"/>
        <v>0.152</v>
      </c>
      <c r="BN15" s="398">
        <f>ROUND((IF($C$47+$F$23&gt;BH15,$F$27*$F$30,0)+IF($C$48+$G$23&gt;BH15,$G$27*$G$30,0))*BM15,0)</f>
        <v>0</v>
      </c>
      <c r="BO15" s="402"/>
      <c r="BP15" s="393">
        <f t="shared" si="21"/>
        <v>115</v>
      </c>
      <c r="BR15" s="393">
        <f>ROUND($G$15*$G$30,0)</f>
        <v>0</v>
      </c>
      <c r="BS15" s="393"/>
      <c r="BT15" s="393">
        <f t="shared" ref="BT15:BT34" si="33">BP15-BR15</f>
        <v>115</v>
      </c>
      <c r="BW15" s="366">
        <f t="shared" ref="BW15:BW34" si="34">BW14+1</f>
        <v>2016</v>
      </c>
      <c r="BX15" s="393">
        <f t="shared" si="22"/>
        <v>48</v>
      </c>
      <c r="BY15" s="369">
        <f t="shared" ref="BY15:BY34" si="35">U15</f>
        <v>29</v>
      </c>
      <c r="BZ15" s="403">
        <f t="shared" ref="BZ15:BZ34" si="36">AU15</f>
        <v>0</v>
      </c>
      <c r="CA15" s="393">
        <f t="shared" ref="CA15:CA34" si="37">SUM(BX15:BZ15)</f>
        <v>77</v>
      </c>
      <c r="CC15" s="393">
        <f t="shared" ref="CC15:CD34" si="38">BB15</f>
        <v>0</v>
      </c>
      <c r="CD15" s="393">
        <f t="shared" si="38"/>
        <v>0</v>
      </c>
      <c r="CE15" s="393">
        <f t="shared" ref="CE15:CE34" si="39">SUM(CC15:CD15)</f>
        <v>0</v>
      </c>
      <c r="CF15" s="393"/>
      <c r="CG15" s="393">
        <f>CA15-CE15</f>
        <v>77</v>
      </c>
    </row>
    <row r="16" spans="1:106">
      <c r="F16" s="369"/>
      <c r="G16" s="369"/>
      <c r="H16" s="369"/>
      <c r="J16" s="333">
        <f t="shared" si="23"/>
        <v>3</v>
      </c>
      <c r="L16" s="366">
        <f t="shared" si="24"/>
        <v>2017</v>
      </c>
      <c r="M16" s="386">
        <f>ROUND(IF($C$47+$F$23&gt;L16,$F$25*$F$30,0)+IF($C$48+$G$23&gt;L16,$G$25*$G$30,0)+IF($C$49+$H$23&gt;L16,$H$25*$H$30,0),0)</f>
        <v>18</v>
      </c>
      <c r="N16" s="387">
        <f t="shared" ref="N16:N34" si="40">ROUND($C$17*(1+$C$18)^J15,3)</f>
        <v>2.7610000000000001</v>
      </c>
      <c r="O16" s="388">
        <f t="shared" si="0"/>
        <v>50</v>
      </c>
      <c r="P16" s="387">
        <f t="shared" si="1"/>
        <v>0</v>
      </c>
      <c r="Q16" s="389">
        <f t="shared" si="25"/>
        <v>0</v>
      </c>
      <c r="R16" s="390">
        <f t="shared" si="2"/>
        <v>50</v>
      </c>
      <c r="S16" s="372">
        <f t="shared" si="3"/>
        <v>0.2</v>
      </c>
      <c r="T16" s="389">
        <f t="shared" ref="T16:T34" si="41">ROUND($C$20*(1+$C$21)^J15,0)</f>
        <v>145</v>
      </c>
      <c r="U16" s="391">
        <f t="shared" ref="U16:U34" si="42">ROUND(S16*T16,0)</f>
        <v>29</v>
      </c>
      <c r="V16" s="386">
        <f t="shared" si="26"/>
        <v>79</v>
      </c>
      <c r="W16" s="392">
        <f t="shared" si="4"/>
        <v>1.9339999999999999</v>
      </c>
      <c r="X16" s="393">
        <f t="shared" si="5"/>
        <v>23</v>
      </c>
      <c r="Y16" s="393">
        <f>ROUND($H$11,0)</f>
        <v>0</v>
      </c>
      <c r="Z16" s="393">
        <f>ROUND($H$12,0)</f>
        <v>0</v>
      </c>
      <c r="AA16" s="389">
        <f t="shared" si="6"/>
        <v>23</v>
      </c>
      <c r="AB16" s="393">
        <f t="shared" si="7"/>
        <v>56</v>
      </c>
      <c r="AE16" s="366">
        <f t="shared" si="27"/>
        <v>2017</v>
      </c>
      <c r="AF16" s="393">
        <f t="shared" si="8"/>
        <v>50</v>
      </c>
      <c r="AG16" s="368">
        <f t="shared" si="9"/>
        <v>29</v>
      </c>
      <c r="AH16" s="393">
        <f t="shared" ref="AH16:AH34" si="43">+AG16+AF16</f>
        <v>79</v>
      </c>
      <c r="AJ16" s="394">
        <f t="shared" si="28"/>
        <v>0</v>
      </c>
      <c r="AK16" s="394">
        <f t="shared" si="28"/>
        <v>0</v>
      </c>
      <c r="AL16" s="395">
        <f t="shared" si="10"/>
        <v>0</v>
      </c>
      <c r="AN16" s="396">
        <f t="shared" si="11"/>
        <v>79</v>
      </c>
      <c r="AQ16" s="366">
        <f t="shared" si="29"/>
        <v>2017</v>
      </c>
      <c r="AR16" s="393">
        <f t="shared" si="12"/>
        <v>50</v>
      </c>
      <c r="AS16" s="393">
        <f t="shared" si="13"/>
        <v>29</v>
      </c>
      <c r="AT16" s="397">
        <f t="shared" si="14"/>
        <v>2.5000000000000001E-2</v>
      </c>
      <c r="AU16" s="398">
        <f>ROUND((IF($C$47+$F$23&gt;$AQ16,$F$27*$F$30,0)+IF($C$48+$G$23&gt;AQ16,$G$27*$G$30,0)+IF($C$49+$H$23&gt;AQ16,$H$27*$H$30,0))*AT16,0)</f>
        <v>0</v>
      </c>
      <c r="AV16" s="387">
        <f t="shared" si="15"/>
        <v>0.375</v>
      </c>
      <c r="AW16" s="393">
        <f t="shared" si="16"/>
        <v>7</v>
      </c>
      <c r="AX16" s="397"/>
      <c r="AY16" s="399"/>
      <c r="AZ16" s="393">
        <f t="shared" si="30"/>
        <v>86</v>
      </c>
      <c r="BA16" s="381"/>
      <c r="BB16" s="393">
        <f>ROUND($H$13,0)</f>
        <v>0</v>
      </c>
      <c r="BC16" s="393">
        <f>ROUND(($H$15*$H$30)-$Z$16,0)</f>
        <v>0</v>
      </c>
      <c r="BD16" s="400">
        <f t="shared" si="31"/>
        <v>0</v>
      </c>
      <c r="BE16" s="393">
        <f t="shared" si="17"/>
        <v>86</v>
      </c>
      <c r="BH16" s="366">
        <f t="shared" si="32"/>
        <v>2017</v>
      </c>
      <c r="BI16" s="393">
        <f>ROUND(H12,0)</f>
        <v>0</v>
      </c>
      <c r="BJ16" s="369">
        <f t="shared" si="18"/>
        <v>18</v>
      </c>
      <c r="BK16" s="401">
        <f t="shared" si="19"/>
        <v>6.6210000000000004</v>
      </c>
      <c r="BL16" s="393">
        <f t="shared" ref="BL16:BL34" si="44">ROUND(BJ16*BK16,0)</f>
        <v>119</v>
      </c>
      <c r="BM16" s="401">
        <f t="shared" si="20"/>
        <v>0.158</v>
      </c>
      <c r="BN16" s="398">
        <f>ROUND((IF($C$47+$F$23&gt;BH16,$F$27*$F$30,0)+IF($C$49+$H$23&gt;BH16,$H$27*$H$30,0)+IF($C$48+$G$23&gt;BH16,$G$27*$G$30,0))*BM16,0)</f>
        <v>0</v>
      </c>
      <c r="BO16" s="402"/>
      <c r="BP16" s="393">
        <f t="shared" si="21"/>
        <v>119</v>
      </c>
      <c r="BR16" s="393">
        <f>ROUND($H$15*$H$30,0)</f>
        <v>0</v>
      </c>
      <c r="BS16" s="393"/>
      <c r="BT16" s="393">
        <f t="shared" si="33"/>
        <v>119</v>
      </c>
      <c r="BW16" s="366">
        <f t="shared" si="34"/>
        <v>2017</v>
      </c>
      <c r="BX16" s="393">
        <f t="shared" si="22"/>
        <v>50</v>
      </c>
      <c r="BY16" s="369">
        <f t="shared" si="35"/>
        <v>29</v>
      </c>
      <c r="BZ16" s="403">
        <f t="shared" si="36"/>
        <v>0</v>
      </c>
      <c r="CA16" s="393">
        <f t="shared" si="37"/>
        <v>79</v>
      </c>
      <c r="CC16" s="393">
        <f t="shared" si="38"/>
        <v>0</v>
      </c>
      <c r="CD16" s="393">
        <f t="shared" si="38"/>
        <v>0</v>
      </c>
      <c r="CE16" s="393">
        <f t="shared" si="39"/>
        <v>0</v>
      </c>
      <c r="CF16" s="393"/>
      <c r="CG16" s="393">
        <f t="shared" ref="CG16:CG34" si="45">CA16-CE16</f>
        <v>79</v>
      </c>
    </row>
    <row r="17" spans="1:106">
      <c r="A17" s="185" t="s">
        <v>105</v>
      </c>
      <c r="C17" s="356">
        <f>+'Gas Input Table Summary'!$D$12</f>
        <v>2.577</v>
      </c>
      <c r="D17" s="404"/>
      <c r="E17" s="185" t="s">
        <v>64</v>
      </c>
      <c r="F17" s="195">
        <f>+'Gas Input Table Summary'!$D$35</f>
        <v>0</v>
      </c>
      <c r="G17" s="195"/>
      <c r="H17" s="195"/>
      <c r="J17" s="333">
        <f t="shared" si="23"/>
        <v>4</v>
      </c>
      <c r="L17" s="366">
        <f t="shared" si="24"/>
        <v>2018</v>
      </c>
      <c r="M17" s="386">
        <f t="shared" ref="M17:M34" si="46">ROUND(IF($C$47+$F$23&gt;L17,$F$25*$F$30,0)+IF($C$48+$G$23&gt;L17,$G$25*$G$30,0)+IF($C$49+$H$23&gt;L17,$H$25*$H$30,0),0)</f>
        <v>18</v>
      </c>
      <c r="N17" s="387">
        <f t="shared" si="40"/>
        <v>2.8570000000000002</v>
      </c>
      <c r="O17" s="388">
        <f t="shared" si="0"/>
        <v>51</v>
      </c>
      <c r="P17" s="387">
        <f t="shared" si="1"/>
        <v>0</v>
      </c>
      <c r="Q17" s="389">
        <f t="shared" si="25"/>
        <v>0</v>
      </c>
      <c r="R17" s="390">
        <f t="shared" si="2"/>
        <v>51</v>
      </c>
      <c r="S17" s="372">
        <f t="shared" si="3"/>
        <v>0.2</v>
      </c>
      <c r="T17" s="389">
        <f t="shared" si="41"/>
        <v>147</v>
      </c>
      <c r="U17" s="391">
        <f t="shared" si="42"/>
        <v>29</v>
      </c>
      <c r="V17" s="386">
        <f t="shared" si="26"/>
        <v>80</v>
      </c>
      <c r="W17" s="392">
        <f t="shared" si="4"/>
        <v>2.0009999999999999</v>
      </c>
      <c r="X17" s="393">
        <f t="shared" si="5"/>
        <v>23</v>
      </c>
      <c r="Y17" s="393">
        <v>0</v>
      </c>
      <c r="Z17" s="393">
        <v>0</v>
      </c>
      <c r="AA17" s="389">
        <f t="shared" si="6"/>
        <v>23</v>
      </c>
      <c r="AB17" s="393">
        <f t="shared" si="7"/>
        <v>57</v>
      </c>
      <c r="AE17" s="366">
        <f t="shared" si="27"/>
        <v>2018</v>
      </c>
      <c r="AF17" s="393">
        <f t="shared" si="8"/>
        <v>51</v>
      </c>
      <c r="AG17" s="368">
        <f t="shared" si="9"/>
        <v>29</v>
      </c>
      <c r="AH17" s="393">
        <f t="shared" si="43"/>
        <v>80</v>
      </c>
      <c r="AJ17" s="394">
        <f t="shared" si="28"/>
        <v>0</v>
      </c>
      <c r="AK17" s="394">
        <f t="shared" si="28"/>
        <v>0</v>
      </c>
      <c r="AL17" s="395">
        <f t="shared" si="10"/>
        <v>0</v>
      </c>
      <c r="AN17" s="396">
        <f t="shared" si="11"/>
        <v>80</v>
      </c>
      <c r="AQ17" s="366">
        <f t="shared" si="29"/>
        <v>2018</v>
      </c>
      <c r="AR17" s="393">
        <f t="shared" si="12"/>
        <v>51</v>
      </c>
      <c r="AS17" s="393">
        <f t="shared" si="13"/>
        <v>29</v>
      </c>
      <c r="AT17" s="397">
        <f t="shared" si="14"/>
        <v>2.5999999999999999E-2</v>
      </c>
      <c r="AU17" s="398">
        <f t="shared" ref="AU17:AU34" si="47">ROUND((IF($C$47+$F$23&gt;$AQ17,$F$27*$F$30,0)+IF($C$48+$G$23&gt;AQ17,$G$27*$G$30,0)+IF($C$49+$H$23&gt;AQ17,$H$27*$H$30,0))*AT17,0)</f>
        <v>0</v>
      </c>
      <c r="AV17" s="387">
        <f t="shared" si="15"/>
        <v>0.38300000000000001</v>
      </c>
      <c r="AW17" s="393">
        <f t="shared" si="16"/>
        <v>7</v>
      </c>
      <c r="AX17" s="397"/>
      <c r="AY17" s="399"/>
      <c r="AZ17" s="393">
        <f t="shared" si="30"/>
        <v>87</v>
      </c>
      <c r="BA17" s="381"/>
      <c r="BB17" s="393">
        <v>0</v>
      </c>
      <c r="BC17" s="393">
        <v>0</v>
      </c>
      <c r="BD17" s="400">
        <f t="shared" si="31"/>
        <v>0</v>
      </c>
      <c r="BE17" s="393">
        <f t="shared" si="17"/>
        <v>87</v>
      </c>
      <c r="BH17" s="366">
        <f t="shared" si="32"/>
        <v>2018</v>
      </c>
      <c r="BI17" s="393">
        <v>0</v>
      </c>
      <c r="BJ17" s="369">
        <f t="shared" si="18"/>
        <v>18</v>
      </c>
      <c r="BK17" s="401">
        <f t="shared" si="19"/>
        <v>6.8529999999999998</v>
      </c>
      <c r="BL17" s="393">
        <f t="shared" si="44"/>
        <v>123</v>
      </c>
      <c r="BM17" s="401">
        <f t="shared" si="20"/>
        <v>0.16300000000000001</v>
      </c>
      <c r="BN17" s="398">
        <f t="shared" ref="BN17:BN34" si="48">ROUND((IF($C$47+$F$23&gt;BH17,$F$27*$F$30,0)+IF($C$49+$H$23&gt;BH17,$H$27*$H$30,0)+IF($C$48+$G$23&gt;BH17,$G$27*$G$30,0))*BM17,0)</f>
        <v>0</v>
      </c>
      <c r="BO17" s="402"/>
      <c r="BP17" s="393">
        <f t="shared" si="21"/>
        <v>123</v>
      </c>
      <c r="BR17" s="393">
        <f t="shared" ref="BR17:BR34" si="49">+BC17</f>
        <v>0</v>
      </c>
      <c r="BS17" s="393"/>
      <c r="BT17" s="393">
        <f t="shared" si="33"/>
        <v>123</v>
      </c>
      <c r="BW17" s="366">
        <f t="shared" si="34"/>
        <v>2018</v>
      </c>
      <c r="BX17" s="393">
        <f t="shared" si="22"/>
        <v>51</v>
      </c>
      <c r="BY17" s="369">
        <f t="shared" si="35"/>
        <v>29</v>
      </c>
      <c r="BZ17" s="403">
        <f t="shared" si="36"/>
        <v>0</v>
      </c>
      <c r="CA17" s="393">
        <f t="shared" si="37"/>
        <v>80</v>
      </c>
      <c r="CC17" s="393">
        <f t="shared" si="38"/>
        <v>0</v>
      </c>
      <c r="CD17" s="393">
        <f t="shared" si="38"/>
        <v>0</v>
      </c>
      <c r="CE17" s="393">
        <f t="shared" si="39"/>
        <v>0</v>
      </c>
      <c r="CF17" s="393"/>
      <c r="CG17" s="393">
        <f t="shared" si="45"/>
        <v>80</v>
      </c>
    </row>
    <row r="18" spans="1:106">
      <c r="A18" s="185" t="s">
        <v>18</v>
      </c>
      <c r="C18" s="358">
        <f>+'Gas Input Table Summary'!$D$13</f>
        <v>3.5000000000000003E-2</v>
      </c>
      <c r="E18" s="187" t="s">
        <v>65</v>
      </c>
      <c r="F18" s="405">
        <f>+'Gas Input Table Summary'!$D$38</f>
        <v>0</v>
      </c>
      <c r="G18" s="405"/>
      <c r="H18" s="405"/>
      <c r="J18" s="333">
        <f t="shared" si="23"/>
        <v>5</v>
      </c>
      <c r="L18" s="366">
        <f t="shared" si="24"/>
        <v>2019</v>
      </c>
      <c r="M18" s="386">
        <f t="shared" si="46"/>
        <v>18</v>
      </c>
      <c r="N18" s="387">
        <f t="shared" si="40"/>
        <v>2.9569999999999999</v>
      </c>
      <c r="O18" s="388">
        <f t="shared" si="0"/>
        <v>53</v>
      </c>
      <c r="P18" s="387">
        <f t="shared" si="1"/>
        <v>0</v>
      </c>
      <c r="Q18" s="389">
        <f t="shared" si="25"/>
        <v>0</v>
      </c>
      <c r="R18" s="390">
        <f t="shared" si="2"/>
        <v>53</v>
      </c>
      <c r="S18" s="372">
        <f t="shared" si="3"/>
        <v>0.2</v>
      </c>
      <c r="T18" s="389">
        <f t="shared" si="41"/>
        <v>148</v>
      </c>
      <c r="U18" s="391">
        <f t="shared" si="42"/>
        <v>30</v>
      </c>
      <c r="V18" s="386">
        <f t="shared" si="26"/>
        <v>83</v>
      </c>
      <c r="W18" s="392">
        <f t="shared" si="4"/>
        <v>2.0710000000000002</v>
      </c>
      <c r="X18" s="393">
        <f t="shared" si="5"/>
        <v>24</v>
      </c>
      <c r="Y18" s="393">
        <v>0</v>
      </c>
      <c r="Z18" s="393">
        <v>0</v>
      </c>
      <c r="AA18" s="389">
        <f t="shared" si="6"/>
        <v>24</v>
      </c>
      <c r="AB18" s="393">
        <f t="shared" si="7"/>
        <v>59</v>
      </c>
      <c r="AE18" s="366">
        <f t="shared" si="27"/>
        <v>2019</v>
      </c>
      <c r="AF18" s="393">
        <f t="shared" si="8"/>
        <v>53</v>
      </c>
      <c r="AG18" s="368">
        <f t="shared" si="9"/>
        <v>30</v>
      </c>
      <c r="AH18" s="393">
        <f t="shared" si="43"/>
        <v>83</v>
      </c>
      <c r="AJ18" s="394">
        <f t="shared" si="28"/>
        <v>0</v>
      </c>
      <c r="AK18" s="394">
        <f t="shared" si="28"/>
        <v>0</v>
      </c>
      <c r="AL18" s="395">
        <f t="shared" si="10"/>
        <v>0</v>
      </c>
      <c r="AN18" s="396">
        <f t="shared" si="11"/>
        <v>83</v>
      </c>
      <c r="AQ18" s="366">
        <f t="shared" si="29"/>
        <v>2019</v>
      </c>
      <c r="AR18" s="393">
        <f t="shared" si="12"/>
        <v>53</v>
      </c>
      <c r="AS18" s="393">
        <f t="shared" si="13"/>
        <v>30</v>
      </c>
      <c r="AT18" s="397">
        <f t="shared" si="14"/>
        <v>2.7E-2</v>
      </c>
      <c r="AU18" s="398">
        <f t="shared" si="47"/>
        <v>0</v>
      </c>
      <c r="AV18" s="387">
        <f t="shared" si="15"/>
        <v>0.39200000000000002</v>
      </c>
      <c r="AW18" s="393">
        <f t="shared" si="16"/>
        <v>7</v>
      </c>
      <c r="AX18" s="397"/>
      <c r="AY18" s="399"/>
      <c r="AZ18" s="393">
        <f t="shared" si="30"/>
        <v>90</v>
      </c>
      <c r="BA18" s="381"/>
      <c r="BB18" s="393">
        <v>0</v>
      </c>
      <c r="BC18" s="393">
        <v>0</v>
      </c>
      <c r="BD18" s="400">
        <f t="shared" si="31"/>
        <v>0</v>
      </c>
      <c r="BE18" s="393">
        <f t="shared" si="17"/>
        <v>90</v>
      </c>
      <c r="BH18" s="366">
        <f t="shared" si="32"/>
        <v>2019</v>
      </c>
      <c r="BI18" s="393">
        <v>0</v>
      </c>
      <c r="BJ18" s="369">
        <f t="shared" si="18"/>
        <v>18</v>
      </c>
      <c r="BK18" s="401">
        <f t="shared" si="19"/>
        <v>7.093</v>
      </c>
      <c r="BL18" s="393">
        <f t="shared" si="44"/>
        <v>128</v>
      </c>
      <c r="BM18" s="401">
        <f t="shared" si="20"/>
        <v>0.16900000000000001</v>
      </c>
      <c r="BN18" s="398">
        <f t="shared" si="48"/>
        <v>0</v>
      </c>
      <c r="BO18" s="402"/>
      <c r="BP18" s="393">
        <f t="shared" si="21"/>
        <v>128</v>
      </c>
      <c r="BR18" s="393">
        <f t="shared" si="49"/>
        <v>0</v>
      </c>
      <c r="BS18" s="393"/>
      <c r="BT18" s="393">
        <f t="shared" si="33"/>
        <v>128</v>
      </c>
      <c r="BW18" s="366">
        <f t="shared" si="34"/>
        <v>2019</v>
      </c>
      <c r="BX18" s="393">
        <f t="shared" si="22"/>
        <v>53</v>
      </c>
      <c r="BY18" s="369">
        <f t="shared" si="35"/>
        <v>30</v>
      </c>
      <c r="BZ18" s="403">
        <f t="shared" si="36"/>
        <v>0</v>
      </c>
      <c r="CA18" s="393">
        <f t="shared" si="37"/>
        <v>83</v>
      </c>
      <c r="CC18" s="393">
        <f t="shared" si="38"/>
        <v>0</v>
      </c>
      <c r="CD18" s="393">
        <f t="shared" si="38"/>
        <v>0</v>
      </c>
      <c r="CE18" s="393">
        <f t="shared" si="39"/>
        <v>0</v>
      </c>
      <c r="CF18" s="393"/>
      <c r="CG18" s="393">
        <f t="shared" si="45"/>
        <v>83</v>
      </c>
      <c r="DB18" s="337" t="s">
        <v>42</v>
      </c>
    </row>
    <row r="19" spans="1:106">
      <c r="C19" s="185"/>
      <c r="J19" s="333">
        <f t="shared" si="23"/>
        <v>6</v>
      </c>
      <c r="L19" s="366">
        <f t="shared" si="24"/>
        <v>2020</v>
      </c>
      <c r="M19" s="386">
        <f t="shared" si="46"/>
        <v>18</v>
      </c>
      <c r="N19" s="387">
        <f t="shared" si="40"/>
        <v>3.0609999999999999</v>
      </c>
      <c r="O19" s="388">
        <f t="shared" si="0"/>
        <v>55</v>
      </c>
      <c r="P19" s="387">
        <f t="shared" si="1"/>
        <v>0</v>
      </c>
      <c r="Q19" s="389">
        <f t="shared" si="25"/>
        <v>0</v>
      </c>
      <c r="R19" s="390">
        <f t="shared" si="2"/>
        <v>55</v>
      </c>
      <c r="S19" s="372">
        <f t="shared" si="3"/>
        <v>0.2</v>
      </c>
      <c r="T19" s="389">
        <f t="shared" si="41"/>
        <v>149</v>
      </c>
      <c r="U19" s="391">
        <f t="shared" si="42"/>
        <v>30</v>
      </c>
      <c r="V19" s="386">
        <f t="shared" si="26"/>
        <v>85</v>
      </c>
      <c r="W19" s="392">
        <f t="shared" si="4"/>
        <v>2.1440000000000001</v>
      </c>
      <c r="X19" s="393">
        <f t="shared" si="5"/>
        <v>25</v>
      </c>
      <c r="Y19" s="393">
        <v>0</v>
      </c>
      <c r="Z19" s="393">
        <v>0</v>
      </c>
      <c r="AA19" s="389">
        <f t="shared" si="6"/>
        <v>25</v>
      </c>
      <c r="AB19" s="393">
        <f t="shared" si="7"/>
        <v>60</v>
      </c>
      <c r="AE19" s="366">
        <f t="shared" si="27"/>
        <v>2020</v>
      </c>
      <c r="AF19" s="393">
        <f t="shared" si="8"/>
        <v>55</v>
      </c>
      <c r="AG19" s="368">
        <f t="shared" si="9"/>
        <v>30</v>
      </c>
      <c r="AH19" s="393">
        <f t="shared" si="43"/>
        <v>85</v>
      </c>
      <c r="AJ19" s="394">
        <f t="shared" si="28"/>
        <v>0</v>
      </c>
      <c r="AK19" s="394">
        <f t="shared" si="28"/>
        <v>0</v>
      </c>
      <c r="AL19" s="395">
        <f t="shared" si="10"/>
        <v>0</v>
      </c>
      <c r="AN19" s="396">
        <f t="shared" si="11"/>
        <v>85</v>
      </c>
      <c r="AQ19" s="366">
        <f t="shared" si="29"/>
        <v>2020</v>
      </c>
      <c r="AR19" s="393">
        <f t="shared" si="12"/>
        <v>55</v>
      </c>
      <c r="AS19" s="393">
        <f t="shared" si="13"/>
        <v>30</v>
      </c>
      <c r="AT19" s="397">
        <f t="shared" si="14"/>
        <v>2.8000000000000001E-2</v>
      </c>
      <c r="AU19" s="398">
        <f t="shared" si="47"/>
        <v>0</v>
      </c>
      <c r="AV19" s="387">
        <f t="shared" si="15"/>
        <v>0.40100000000000002</v>
      </c>
      <c r="AW19" s="393">
        <f t="shared" si="16"/>
        <v>7</v>
      </c>
      <c r="AX19" s="397"/>
      <c r="AY19" s="399"/>
      <c r="AZ19" s="393">
        <f t="shared" si="30"/>
        <v>92</v>
      </c>
      <c r="BA19" s="381"/>
      <c r="BB19" s="393">
        <v>0</v>
      </c>
      <c r="BC19" s="393">
        <v>0</v>
      </c>
      <c r="BD19" s="400">
        <f t="shared" si="31"/>
        <v>0</v>
      </c>
      <c r="BE19" s="393">
        <f t="shared" si="17"/>
        <v>92</v>
      </c>
      <c r="BH19" s="366">
        <f t="shared" si="32"/>
        <v>2020</v>
      </c>
      <c r="BI19" s="393">
        <v>0</v>
      </c>
      <c r="BJ19" s="369">
        <f t="shared" si="18"/>
        <v>18</v>
      </c>
      <c r="BK19" s="401">
        <f t="shared" si="19"/>
        <v>7.3410000000000002</v>
      </c>
      <c r="BL19" s="393">
        <f t="shared" si="44"/>
        <v>132</v>
      </c>
      <c r="BM19" s="401">
        <f t="shared" si="20"/>
        <v>0.17499999999999999</v>
      </c>
      <c r="BN19" s="398">
        <f t="shared" si="48"/>
        <v>0</v>
      </c>
      <c r="BO19" s="402"/>
      <c r="BP19" s="393">
        <f t="shared" si="21"/>
        <v>132</v>
      </c>
      <c r="BR19" s="393">
        <f t="shared" si="49"/>
        <v>0</v>
      </c>
      <c r="BS19" s="393"/>
      <c r="BT19" s="393">
        <f t="shared" si="33"/>
        <v>132</v>
      </c>
      <c r="BW19" s="366">
        <f t="shared" si="34"/>
        <v>2020</v>
      </c>
      <c r="BX19" s="393">
        <f t="shared" si="22"/>
        <v>55</v>
      </c>
      <c r="BY19" s="369">
        <f t="shared" si="35"/>
        <v>30</v>
      </c>
      <c r="BZ19" s="403">
        <f t="shared" si="36"/>
        <v>0</v>
      </c>
      <c r="CA19" s="393">
        <f t="shared" si="37"/>
        <v>85</v>
      </c>
      <c r="CC19" s="393">
        <f t="shared" si="38"/>
        <v>0</v>
      </c>
      <c r="CD19" s="393">
        <f t="shared" si="38"/>
        <v>0</v>
      </c>
      <c r="CE19" s="393">
        <f t="shared" si="39"/>
        <v>0</v>
      </c>
      <c r="CF19" s="393"/>
      <c r="CG19" s="393">
        <f t="shared" si="45"/>
        <v>85</v>
      </c>
    </row>
    <row r="20" spans="1:106">
      <c r="A20" s="185" t="s">
        <v>66</v>
      </c>
      <c r="C20" s="406">
        <f>+'Gas Input Table Summary'!$D$14</f>
        <v>142.21</v>
      </c>
      <c r="E20" s="185" t="s">
        <v>67</v>
      </c>
      <c r="F20" s="195">
        <f>+'Gas Input Table Summary'!$D$41</f>
        <v>0</v>
      </c>
      <c r="G20" s="195"/>
      <c r="H20" s="195"/>
      <c r="J20" s="333">
        <f t="shared" si="23"/>
        <v>7</v>
      </c>
      <c r="L20" s="366">
        <f t="shared" si="24"/>
        <v>2021</v>
      </c>
      <c r="M20" s="386">
        <f t="shared" si="46"/>
        <v>18</v>
      </c>
      <c r="N20" s="387">
        <f t="shared" si="40"/>
        <v>3.1680000000000001</v>
      </c>
      <c r="O20" s="388">
        <f t="shared" si="0"/>
        <v>57</v>
      </c>
      <c r="P20" s="387">
        <f t="shared" si="1"/>
        <v>0</v>
      </c>
      <c r="Q20" s="389">
        <f t="shared" si="25"/>
        <v>0</v>
      </c>
      <c r="R20" s="390">
        <f t="shared" si="2"/>
        <v>57</v>
      </c>
      <c r="S20" s="372">
        <f t="shared" si="3"/>
        <v>0.2</v>
      </c>
      <c r="T20" s="389">
        <f t="shared" si="41"/>
        <v>151</v>
      </c>
      <c r="U20" s="391">
        <f t="shared" si="42"/>
        <v>30</v>
      </c>
      <c r="V20" s="386">
        <f t="shared" si="26"/>
        <v>87</v>
      </c>
      <c r="W20" s="392">
        <f t="shared" si="4"/>
        <v>2.2189999999999999</v>
      </c>
      <c r="X20" s="393">
        <f t="shared" si="5"/>
        <v>26</v>
      </c>
      <c r="Y20" s="393">
        <v>0</v>
      </c>
      <c r="Z20" s="393">
        <v>0</v>
      </c>
      <c r="AA20" s="389">
        <f t="shared" si="6"/>
        <v>26</v>
      </c>
      <c r="AB20" s="393">
        <f t="shared" si="7"/>
        <v>61</v>
      </c>
      <c r="AE20" s="366">
        <f t="shared" si="27"/>
        <v>2021</v>
      </c>
      <c r="AF20" s="393">
        <f t="shared" si="8"/>
        <v>57</v>
      </c>
      <c r="AG20" s="368">
        <f t="shared" si="9"/>
        <v>30</v>
      </c>
      <c r="AH20" s="393">
        <f t="shared" si="43"/>
        <v>87</v>
      </c>
      <c r="AJ20" s="394">
        <f t="shared" si="28"/>
        <v>0</v>
      </c>
      <c r="AK20" s="394">
        <f t="shared" si="28"/>
        <v>0</v>
      </c>
      <c r="AL20" s="395">
        <f t="shared" si="10"/>
        <v>0</v>
      </c>
      <c r="AN20" s="396">
        <f t="shared" si="11"/>
        <v>87</v>
      </c>
      <c r="AQ20" s="366">
        <f t="shared" si="29"/>
        <v>2021</v>
      </c>
      <c r="AR20" s="393">
        <f t="shared" si="12"/>
        <v>57</v>
      </c>
      <c r="AS20" s="393">
        <f t="shared" si="13"/>
        <v>30</v>
      </c>
      <c r="AT20" s="397">
        <f t="shared" si="14"/>
        <v>2.9000000000000001E-2</v>
      </c>
      <c r="AU20" s="398">
        <f t="shared" si="47"/>
        <v>0</v>
      </c>
      <c r="AV20" s="387">
        <f t="shared" si="15"/>
        <v>0.41</v>
      </c>
      <c r="AW20" s="393">
        <f t="shared" si="16"/>
        <v>7</v>
      </c>
      <c r="AX20" s="397"/>
      <c r="AY20" s="399"/>
      <c r="AZ20" s="393">
        <f t="shared" si="30"/>
        <v>94</v>
      </c>
      <c r="BA20" s="381"/>
      <c r="BB20" s="393">
        <v>0</v>
      </c>
      <c r="BC20" s="393">
        <v>0</v>
      </c>
      <c r="BD20" s="400">
        <f t="shared" si="31"/>
        <v>0</v>
      </c>
      <c r="BE20" s="393">
        <f t="shared" si="17"/>
        <v>94</v>
      </c>
      <c r="BH20" s="366">
        <f t="shared" si="32"/>
        <v>2021</v>
      </c>
      <c r="BI20" s="393">
        <v>0</v>
      </c>
      <c r="BJ20" s="369">
        <f t="shared" si="18"/>
        <v>18</v>
      </c>
      <c r="BK20" s="401">
        <f t="shared" si="19"/>
        <v>7.5979999999999999</v>
      </c>
      <c r="BL20" s="393">
        <f t="shared" si="44"/>
        <v>137</v>
      </c>
      <c r="BM20" s="401">
        <f t="shared" si="20"/>
        <v>0.18099999999999999</v>
      </c>
      <c r="BN20" s="398">
        <f t="shared" si="48"/>
        <v>0</v>
      </c>
      <c r="BO20" s="402"/>
      <c r="BP20" s="393">
        <f t="shared" si="21"/>
        <v>137</v>
      </c>
      <c r="BR20" s="393">
        <f t="shared" si="49"/>
        <v>0</v>
      </c>
      <c r="BS20" s="393"/>
      <c r="BT20" s="393">
        <f t="shared" si="33"/>
        <v>137</v>
      </c>
      <c r="BW20" s="366">
        <f t="shared" si="34"/>
        <v>2021</v>
      </c>
      <c r="BX20" s="393">
        <f t="shared" si="22"/>
        <v>57</v>
      </c>
      <c r="BY20" s="369">
        <f t="shared" si="35"/>
        <v>30</v>
      </c>
      <c r="BZ20" s="403">
        <f t="shared" si="36"/>
        <v>0</v>
      </c>
      <c r="CA20" s="393">
        <f t="shared" si="37"/>
        <v>87</v>
      </c>
      <c r="CC20" s="393">
        <f t="shared" si="38"/>
        <v>0</v>
      </c>
      <c r="CD20" s="393">
        <f t="shared" si="38"/>
        <v>0</v>
      </c>
      <c r="CE20" s="393">
        <f t="shared" si="39"/>
        <v>0</v>
      </c>
      <c r="CF20" s="393"/>
      <c r="CG20" s="393">
        <f t="shared" si="45"/>
        <v>87</v>
      </c>
      <c r="DB20" s="366"/>
    </row>
    <row r="21" spans="1:106">
      <c r="A21" s="185" t="s">
        <v>18</v>
      </c>
      <c r="C21" s="358">
        <f>+'Gas Input Table Summary'!$D$15</f>
        <v>0.01</v>
      </c>
      <c r="E21" s="187" t="s">
        <v>65</v>
      </c>
      <c r="F21" s="405">
        <f>+'Gas Input Table Summary'!$D$44</f>
        <v>0</v>
      </c>
      <c r="G21" s="405"/>
      <c r="H21" s="405"/>
      <c r="J21" s="333">
        <f t="shared" si="23"/>
        <v>8</v>
      </c>
      <c r="L21" s="366">
        <f t="shared" si="24"/>
        <v>2022</v>
      </c>
      <c r="M21" s="386">
        <f t="shared" si="46"/>
        <v>18</v>
      </c>
      <c r="N21" s="387">
        <f t="shared" si="40"/>
        <v>3.2789999999999999</v>
      </c>
      <c r="O21" s="388">
        <f t="shared" si="0"/>
        <v>59</v>
      </c>
      <c r="P21" s="387">
        <f t="shared" si="1"/>
        <v>0</v>
      </c>
      <c r="Q21" s="389">
        <f t="shared" si="25"/>
        <v>0</v>
      </c>
      <c r="R21" s="390">
        <f t="shared" si="2"/>
        <v>59</v>
      </c>
      <c r="S21" s="372">
        <f t="shared" si="3"/>
        <v>0.2</v>
      </c>
      <c r="T21" s="389">
        <f t="shared" si="41"/>
        <v>152</v>
      </c>
      <c r="U21" s="391">
        <f t="shared" si="42"/>
        <v>30</v>
      </c>
      <c r="V21" s="386">
        <f t="shared" si="26"/>
        <v>89</v>
      </c>
      <c r="W21" s="392">
        <f t="shared" si="4"/>
        <v>2.2970000000000002</v>
      </c>
      <c r="X21" s="393">
        <f t="shared" si="5"/>
        <v>27</v>
      </c>
      <c r="Y21" s="393">
        <v>0</v>
      </c>
      <c r="Z21" s="393">
        <v>0</v>
      </c>
      <c r="AA21" s="389">
        <f t="shared" si="6"/>
        <v>27</v>
      </c>
      <c r="AB21" s="393">
        <f t="shared" si="7"/>
        <v>62</v>
      </c>
      <c r="AE21" s="366">
        <f t="shared" si="27"/>
        <v>2022</v>
      </c>
      <c r="AF21" s="393">
        <f t="shared" si="8"/>
        <v>59</v>
      </c>
      <c r="AG21" s="368">
        <f t="shared" si="9"/>
        <v>30</v>
      </c>
      <c r="AH21" s="393">
        <f t="shared" si="43"/>
        <v>89</v>
      </c>
      <c r="AJ21" s="394">
        <f t="shared" si="28"/>
        <v>0</v>
      </c>
      <c r="AK21" s="394">
        <f t="shared" si="28"/>
        <v>0</v>
      </c>
      <c r="AL21" s="395">
        <f t="shared" si="10"/>
        <v>0</v>
      </c>
      <c r="AN21" s="396">
        <f t="shared" si="11"/>
        <v>89</v>
      </c>
      <c r="AQ21" s="366">
        <f t="shared" si="29"/>
        <v>2022</v>
      </c>
      <c r="AR21" s="393">
        <f t="shared" si="12"/>
        <v>59</v>
      </c>
      <c r="AS21" s="393">
        <f t="shared" si="13"/>
        <v>30</v>
      </c>
      <c r="AT21" s="397">
        <f t="shared" si="14"/>
        <v>0.03</v>
      </c>
      <c r="AU21" s="398">
        <f t="shared" si="47"/>
        <v>0</v>
      </c>
      <c r="AV21" s="387">
        <f t="shared" si="15"/>
        <v>0.42</v>
      </c>
      <c r="AW21" s="393">
        <f t="shared" si="16"/>
        <v>8</v>
      </c>
      <c r="AX21" s="397"/>
      <c r="AY21" s="399"/>
      <c r="AZ21" s="393">
        <f t="shared" si="30"/>
        <v>97</v>
      </c>
      <c r="BA21" s="381"/>
      <c r="BB21" s="393">
        <v>0</v>
      </c>
      <c r="BC21" s="393">
        <v>0</v>
      </c>
      <c r="BD21" s="400">
        <f t="shared" si="31"/>
        <v>0</v>
      </c>
      <c r="BE21" s="393">
        <f t="shared" si="17"/>
        <v>97</v>
      </c>
      <c r="BH21" s="366">
        <f t="shared" si="32"/>
        <v>2022</v>
      </c>
      <c r="BI21" s="393">
        <v>0</v>
      </c>
      <c r="BJ21" s="369">
        <f t="shared" si="18"/>
        <v>18</v>
      </c>
      <c r="BK21" s="401">
        <f t="shared" si="19"/>
        <v>7.8639999999999999</v>
      </c>
      <c r="BL21" s="393">
        <f t="shared" si="44"/>
        <v>142</v>
      </c>
      <c r="BM21" s="401">
        <f t="shared" si="20"/>
        <v>0.187</v>
      </c>
      <c r="BN21" s="398">
        <f t="shared" si="48"/>
        <v>0</v>
      </c>
      <c r="BO21" s="402"/>
      <c r="BP21" s="393">
        <f t="shared" si="21"/>
        <v>142</v>
      </c>
      <c r="BR21" s="393">
        <f t="shared" si="49"/>
        <v>0</v>
      </c>
      <c r="BS21" s="393"/>
      <c r="BT21" s="393">
        <f t="shared" si="33"/>
        <v>142</v>
      </c>
      <c r="BW21" s="366">
        <f t="shared" si="34"/>
        <v>2022</v>
      </c>
      <c r="BX21" s="393">
        <f t="shared" si="22"/>
        <v>59</v>
      </c>
      <c r="BY21" s="369">
        <f t="shared" si="35"/>
        <v>30</v>
      </c>
      <c r="BZ21" s="403">
        <f t="shared" si="36"/>
        <v>0</v>
      </c>
      <c r="CA21" s="393">
        <f t="shared" si="37"/>
        <v>89</v>
      </c>
      <c r="CC21" s="393">
        <f t="shared" si="38"/>
        <v>0</v>
      </c>
      <c r="CD21" s="393">
        <f t="shared" si="38"/>
        <v>0</v>
      </c>
      <c r="CE21" s="393">
        <f t="shared" si="39"/>
        <v>0</v>
      </c>
      <c r="CF21" s="393"/>
      <c r="CG21" s="393">
        <f t="shared" si="45"/>
        <v>89</v>
      </c>
      <c r="DB21" s="333">
        <f>$J14</f>
        <v>1</v>
      </c>
    </row>
    <row r="22" spans="1:106">
      <c r="F22" s="368"/>
      <c r="G22" s="368"/>
      <c r="H22" s="368"/>
      <c r="J22" s="333">
        <f t="shared" si="23"/>
        <v>9</v>
      </c>
      <c r="L22" s="366">
        <f t="shared" si="24"/>
        <v>2023</v>
      </c>
      <c r="M22" s="386">
        <f t="shared" si="46"/>
        <v>18</v>
      </c>
      <c r="N22" s="387">
        <f t="shared" si="40"/>
        <v>3.3929999999999998</v>
      </c>
      <c r="O22" s="388">
        <f t="shared" si="0"/>
        <v>61</v>
      </c>
      <c r="P22" s="387">
        <f t="shared" si="1"/>
        <v>0</v>
      </c>
      <c r="Q22" s="389">
        <f t="shared" si="25"/>
        <v>0</v>
      </c>
      <c r="R22" s="390">
        <f t="shared" si="2"/>
        <v>61</v>
      </c>
      <c r="S22" s="372">
        <f t="shared" si="3"/>
        <v>0.2</v>
      </c>
      <c r="T22" s="389">
        <f t="shared" si="41"/>
        <v>154</v>
      </c>
      <c r="U22" s="391">
        <f t="shared" si="42"/>
        <v>31</v>
      </c>
      <c r="V22" s="386">
        <f t="shared" si="26"/>
        <v>92</v>
      </c>
      <c r="W22" s="392">
        <f t="shared" si="4"/>
        <v>2.3769999999999998</v>
      </c>
      <c r="X22" s="393">
        <f t="shared" si="5"/>
        <v>28</v>
      </c>
      <c r="Y22" s="393">
        <v>0</v>
      </c>
      <c r="Z22" s="393">
        <v>0</v>
      </c>
      <c r="AA22" s="389">
        <f t="shared" si="6"/>
        <v>28</v>
      </c>
      <c r="AB22" s="393">
        <f t="shared" si="7"/>
        <v>64</v>
      </c>
      <c r="AE22" s="366">
        <f t="shared" si="27"/>
        <v>2023</v>
      </c>
      <c r="AF22" s="393">
        <f t="shared" si="8"/>
        <v>61</v>
      </c>
      <c r="AG22" s="368">
        <f t="shared" si="9"/>
        <v>31</v>
      </c>
      <c r="AH22" s="393">
        <f t="shared" si="43"/>
        <v>92</v>
      </c>
      <c r="AJ22" s="394">
        <f t="shared" si="28"/>
        <v>0</v>
      </c>
      <c r="AK22" s="394">
        <f t="shared" si="28"/>
        <v>0</v>
      </c>
      <c r="AL22" s="395">
        <f t="shared" si="10"/>
        <v>0</v>
      </c>
      <c r="AN22" s="396">
        <f t="shared" si="11"/>
        <v>92</v>
      </c>
      <c r="AQ22" s="366">
        <f t="shared" si="29"/>
        <v>2023</v>
      </c>
      <c r="AR22" s="393">
        <f t="shared" si="12"/>
        <v>61</v>
      </c>
      <c r="AS22" s="393">
        <f t="shared" si="13"/>
        <v>31</v>
      </c>
      <c r="AT22" s="397">
        <f t="shared" si="14"/>
        <v>3.1E-2</v>
      </c>
      <c r="AU22" s="398">
        <f t="shared" si="47"/>
        <v>0</v>
      </c>
      <c r="AV22" s="387">
        <f t="shared" si="15"/>
        <v>0.42899999999999999</v>
      </c>
      <c r="AW22" s="393">
        <f t="shared" si="16"/>
        <v>8</v>
      </c>
      <c r="AX22" s="397"/>
      <c r="AY22" s="399"/>
      <c r="AZ22" s="393">
        <f t="shared" si="30"/>
        <v>100</v>
      </c>
      <c r="BA22" s="381"/>
      <c r="BB22" s="393">
        <v>0</v>
      </c>
      <c r="BC22" s="393">
        <v>0</v>
      </c>
      <c r="BD22" s="400">
        <f t="shared" si="31"/>
        <v>0</v>
      </c>
      <c r="BE22" s="393">
        <f t="shared" si="17"/>
        <v>100</v>
      </c>
      <c r="BH22" s="366">
        <f t="shared" si="32"/>
        <v>2023</v>
      </c>
      <c r="BI22" s="393">
        <v>0</v>
      </c>
      <c r="BJ22" s="369">
        <f t="shared" si="18"/>
        <v>18</v>
      </c>
      <c r="BK22" s="401">
        <f t="shared" si="19"/>
        <v>8.1389999999999993</v>
      </c>
      <c r="BL22" s="393">
        <f t="shared" si="44"/>
        <v>147</v>
      </c>
      <c r="BM22" s="401">
        <f t="shared" si="20"/>
        <v>0.19400000000000001</v>
      </c>
      <c r="BN22" s="398">
        <f t="shared" si="48"/>
        <v>0</v>
      </c>
      <c r="BO22" s="402"/>
      <c r="BP22" s="393">
        <f t="shared" si="21"/>
        <v>147</v>
      </c>
      <c r="BR22" s="393">
        <f t="shared" si="49"/>
        <v>0</v>
      </c>
      <c r="BS22" s="393"/>
      <c r="BT22" s="393">
        <f t="shared" si="33"/>
        <v>147</v>
      </c>
      <c r="BW22" s="366">
        <f t="shared" si="34"/>
        <v>2023</v>
      </c>
      <c r="BX22" s="393">
        <f t="shared" si="22"/>
        <v>61</v>
      </c>
      <c r="BY22" s="369">
        <f t="shared" si="35"/>
        <v>31</v>
      </c>
      <c r="BZ22" s="403">
        <f t="shared" si="36"/>
        <v>0</v>
      </c>
      <c r="CA22" s="393">
        <f t="shared" si="37"/>
        <v>92</v>
      </c>
      <c r="CC22" s="393">
        <f t="shared" si="38"/>
        <v>0</v>
      </c>
      <c r="CD22" s="393">
        <f t="shared" si="38"/>
        <v>0</v>
      </c>
      <c r="CE22" s="393">
        <f t="shared" si="39"/>
        <v>0</v>
      </c>
      <c r="CF22" s="393"/>
      <c r="CG22" s="393">
        <f t="shared" si="45"/>
        <v>92</v>
      </c>
      <c r="DB22" s="333">
        <f>$J15</f>
        <v>2</v>
      </c>
    </row>
    <row r="23" spans="1:106">
      <c r="A23" s="185" t="s">
        <v>68</v>
      </c>
      <c r="C23" s="407">
        <f>+'Gas Input Table Summary'!$D$16</f>
        <v>0.01</v>
      </c>
      <c r="E23" s="185" t="s">
        <v>69</v>
      </c>
      <c r="F23" s="408">
        <f>ROUND('Database Inputs'!D12,0)</f>
        <v>10</v>
      </c>
      <c r="G23" s="408"/>
      <c r="H23" s="408"/>
      <c r="J23" s="333">
        <f t="shared" si="23"/>
        <v>10</v>
      </c>
      <c r="L23" s="366">
        <f t="shared" si="24"/>
        <v>2024</v>
      </c>
      <c r="M23" s="386">
        <f t="shared" si="46"/>
        <v>18</v>
      </c>
      <c r="N23" s="387">
        <f t="shared" si="40"/>
        <v>3.512</v>
      </c>
      <c r="O23" s="388">
        <f t="shared" si="0"/>
        <v>63</v>
      </c>
      <c r="P23" s="387">
        <f t="shared" si="1"/>
        <v>0</v>
      </c>
      <c r="Q23" s="389">
        <f t="shared" si="25"/>
        <v>0</v>
      </c>
      <c r="R23" s="390">
        <f t="shared" si="2"/>
        <v>63</v>
      </c>
      <c r="S23" s="372">
        <f t="shared" si="3"/>
        <v>0.2</v>
      </c>
      <c r="T23" s="389">
        <f t="shared" si="41"/>
        <v>156</v>
      </c>
      <c r="U23" s="391">
        <f t="shared" si="42"/>
        <v>31</v>
      </c>
      <c r="V23" s="386">
        <f t="shared" si="26"/>
        <v>94</v>
      </c>
      <c r="W23" s="392">
        <f t="shared" si="4"/>
        <v>2.46</v>
      </c>
      <c r="X23" s="393">
        <f t="shared" si="5"/>
        <v>29</v>
      </c>
      <c r="Y23" s="393">
        <v>0</v>
      </c>
      <c r="Z23" s="393">
        <v>0</v>
      </c>
      <c r="AA23" s="389">
        <f t="shared" si="6"/>
        <v>29</v>
      </c>
      <c r="AB23" s="393">
        <f t="shared" si="7"/>
        <v>65</v>
      </c>
      <c r="AE23" s="366">
        <f t="shared" si="27"/>
        <v>2024</v>
      </c>
      <c r="AF23" s="393">
        <f t="shared" si="8"/>
        <v>63</v>
      </c>
      <c r="AG23" s="368">
        <f t="shared" si="9"/>
        <v>31</v>
      </c>
      <c r="AH23" s="393">
        <f t="shared" si="43"/>
        <v>94</v>
      </c>
      <c r="AJ23" s="394">
        <f t="shared" si="28"/>
        <v>0</v>
      </c>
      <c r="AK23" s="394">
        <f t="shared" si="28"/>
        <v>0</v>
      </c>
      <c r="AL23" s="395">
        <f t="shared" si="10"/>
        <v>0</v>
      </c>
      <c r="AN23" s="396">
        <f t="shared" si="11"/>
        <v>94</v>
      </c>
      <c r="AQ23" s="366">
        <f t="shared" si="29"/>
        <v>2024</v>
      </c>
      <c r="AR23" s="393">
        <f t="shared" si="12"/>
        <v>63</v>
      </c>
      <c r="AS23" s="393">
        <f t="shared" si="13"/>
        <v>31</v>
      </c>
      <c r="AT23" s="397">
        <f t="shared" si="14"/>
        <v>3.2000000000000001E-2</v>
      </c>
      <c r="AU23" s="398">
        <f t="shared" si="47"/>
        <v>0</v>
      </c>
      <c r="AV23" s="387">
        <f t="shared" si="15"/>
        <v>0.439</v>
      </c>
      <c r="AW23" s="393">
        <f t="shared" si="16"/>
        <v>8</v>
      </c>
      <c r="AX23" s="397"/>
      <c r="AY23" s="399"/>
      <c r="AZ23" s="393">
        <f t="shared" si="30"/>
        <v>102</v>
      </c>
      <c r="BA23" s="381"/>
      <c r="BB23" s="393">
        <v>0</v>
      </c>
      <c r="BC23" s="393">
        <v>0</v>
      </c>
      <c r="BD23" s="400">
        <f t="shared" si="31"/>
        <v>0</v>
      </c>
      <c r="BE23" s="393">
        <f t="shared" si="17"/>
        <v>102</v>
      </c>
      <c r="BH23" s="366">
        <f t="shared" si="32"/>
        <v>2024</v>
      </c>
      <c r="BI23" s="393">
        <v>0</v>
      </c>
      <c r="BJ23" s="369">
        <f t="shared" si="18"/>
        <v>18</v>
      </c>
      <c r="BK23" s="401">
        <f t="shared" si="19"/>
        <v>8.4239999999999995</v>
      </c>
      <c r="BL23" s="393">
        <f t="shared" si="44"/>
        <v>152</v>
      </c>
      <c r="BM23" s="401">
        <f t="shared" si="20"/>
        <v>0.2</v>
      </c>
      <c r="BN23" s="398">
        <f t="shared" si="48"/>
        <v>0</v>
      </c>
      <c r="BO23" s="402"/>
      <c r="BP23" s="393">
        <f t="shared" si="21"/>
        <v>152</v>
      </c>
      <c r="BR23" s="393">
        <f t="shared" si="49"/>
        <v>0</v>
      </c>
      <c r="BS23" s="393"/>
      <c r="BT23" s="393">
        <f t="shared" si="33"/>
        <v>152</v>
      </c>
      <c r="BW23" s="366">
        <f t="shared" si="34"/>
        <v>2024</v>
      </c>
      <c r="BX23" s="393">
        <f t="shared" si="22"/>
        <v>63</v>
      </c>
      <c r="BY23" s="369">
        <f t="shared" si="35"/>
        <v>31</v>
      </c>
      <c r="BZ23" s="403">
        <f t="shared" si="36"/>
        <v>0</v>
      </c>
      <c r="CA23" s="393">
        <f t="shared" si="37"/>
        <v>94</v>
      </c>
      <c r="CC23" s="393">
        <f t="shared" si="38"/>
        <v>0</v>
      </c>
      <c r="CD23" s="393">
        <f t="shared" si="38"/>
        <v>0</v>
      </c>
      <c r="CE23" s="393">
        <f t="shared" si="39"/>
        <v>0</v>
      </c>
      <c r="CF23" s="393"/>
      <c r="CG23" s="393">
        <f t="shared" si="45"/>
        <v>94</v>
      </c>
      <c r="DB23" s="333">
        <f>$J16</f>
        <v>3</v>
      </c>
    </row>
    <row r="24" spans="1:106">
      <c r="F24" s="368"/>
      <c r="G24" s="368"/>
      <c r="H24" s="368"/>
      <c r="J24" s="333">
        <f t="shared" si="23"/>
        <v>11</v>
      </c>
      <c r="L24" s="366">
        <f t="shared" si="24"/>
        <v>2025</v>
      </c>
      <c r="M24" s="386">
        <f t="shared" si="46"/>
        <v>0</v>
      </c>
      <c r="N24" s="387">
        <f t="shared" si="40"/>
        <v>3.6349999999999998</v>
      </c>
      <c r="O24" s="388">
        <f t="shared" si="0"/>
        <v>0</v>
      </c>
      <c r="P24" s="387">
        <f t="shared" si="1"/>
        <v>0</v>
      </c>
      <c r="Q24" s="389">
        <f t="shared" si="25"/>
        <v>0</v>
      </c>
      <c r="R24" s="390">
        <f t="shared" si="2"/>
        <v>0</v>
      </c>
      <c r="S24" s="372">
        <f t="shared" si="3"/>
        <v>0</v>
      </c>
      <c r="T24" s="389">
        <f t="shared" si="41"/>
        <v>157</v>
      </c>
      <c r="U24" s="391">
        <f t="shared" si="42"/>
        <v>0</v>
      </c>
      <c r="V24" s="386">
        <f t="shared" si="26"/>
        <v>0</v>
      </c>
      <c r="W24" s="392">
        <f t="shared" si="4"/>
        <v>2.5459999999999998</v>
      </c>
      <c r="X24" s="393">
        <f t="shared" si="5"/>
        <v>0</v>
      </c>
      <c r="Y24" s="393">
        <v>0</v>
      </c>
      <c r="Z24" s="393">
        <v>0</v>
      </c>
      <c r="AA24" s="389">
        <f t="shared" si="6"/>
        <v>0</v>
      </c>
      <c r="AB24" s="393">
        <f t="shared" si="7"/>
        <v>0</v>
      </c>
      <c r="AE24" s="366">
        <f t="shared" si="27"/>
        <v>2025</v>
      </c>
      <c r="AF24" s="393">
        <f t="shared" si="8"/>
        <v>0</v>
      </c>
      <c r="AG24" s="368">
        <f t="shared" si="9"/>
        <v>0</v>
      </c>
      <c r="AH24" s="393">
        <f t="shared" si="43"/>
        <v>0</v>
      </c>
      <c r="AJ24" s="394">
        <f t="shared" si="28"/>
        <v>0</v>
      </c>
      <c r="AK24" s="394">
        <f t="shared" si="28"/>
        <v>0</v>
      </c>
      <c r="AL24" s="395">
        <f t="shared" si="10"/>
        <v>0</v>
      </c>
      <c r="AN24" s="396">
        <f t="shared" si="11"/>
        <v>0</v>
      </c>
      <c r="AQ24" s="366">
        <f t="shared" si="29"/>
        <v>2025</v>
      </c>
      <c r="AR24" s="393">
        <f t="shared" si="12"/>
        <v>0</v>
      </c>
      <c r="AS24" s="393">
        <f t="shared" si="13"/>
        <v>0</v>
      </c>
      <c r="AT24" s="397">
        <f t="shared" si="14"/>
        <v>3.4000000000000002E-2</v>
      </c>
      <c r="AU24" s="398">
        <f t="shared" si="47"/>
        <v>0</v>
      </c>
      <c r="AV24" s="387">
        <f t="shared" si="15"/>
        <v>0.44900000000000001</v>
      </c>
      <c r="AW24" s="393">
        <f t="shared" si="16"/>
        <v>0</v>
      </c>
      <c r="AX24" s="397"/>
      <c r="AY24" s="399"/>
      <c r="AZ24" s="393">
        <f t="shared" si="30"/>
        <v>0</v>
      </c>
      <c r="BA24" s="381"/>
      <c r="BB24" s="393">
        <v>0</v>
      </c>
      <c r="BC24" s="393">
        <v>0</v>
      </c>
      <c r="BD24" s="400">
        <f t="shared" si="31"/>
        <v>0</v>
      </c>
      <c r="BE24" s="393">
        <f t="shared" si="17"/>
        <v>0</v>
      </c>
      <c r="BH24" s="366">
        <f t="shared" si="32"/>
        <v>2025</v>
      </c>
      <c r="BI24" s="393">
        <v>0</v>
      </c>
      <c r="BJ24" s="369">
        <f t="shared" si="18"/>
        <v>0</v>
      </c>
      <c r="BK24" s="401">
        <f t="shared" si="19"/>
        <v>8.7189999999999994</v>
      </c>
      <c r="BL24" s="393">
        <f t="shared" si="44"/>
        <v>0</v>
      </c>
      <c r="BM24" s="401">
        <f t="shared" si="20"/>
        <v>0.20699999999999999</v>
      </c>
      <c r="BN24" s="398">
        <f t="shared" si="48"/>
        <v>0</v>
      </c>
      <c r="BO24" s="402"/>
      <c r="BP24" s="393">
        <f t="shared" si="21"/>
        <v>0</v>
      </c>
      <c r="BR24" s="393">
        <f t="shared" si="49"/>
        <v>0</v>
      </c>
      <c r="BS24" s="393"/>
      <c r="BT24" s="393">
        <f t="shared" si="33"/>
        <v>0</v>
      </c>
      <c r="BW24" s="366">
        <f t="shared" si="34"/>
        <v>2025</v>
      </c>
      <c r="BX24" s="393">
        <f t="shared" si="22"/>
        <v>0</v>
      </c>
      <c r="BY24" s="369">
        <f t="shared" si="35"/>
        <v>0</v>
      </c>
      <c r="BZ24" s="403">
        <f t="shared" si="36"/>
        <v>0</v>
      </c>
      <c r="CA24" s="393">
        <f t="shared" si="37"/>
        <v>0</v>
      </c>
      <c r="CC24" s="393">
        <f t="shared" si="38"/>
        <v>0</v>
      </c>
      <c r="CD24" s="393">
        <f t="shared" si="38"/>
        <v>0</v>
      </c>
      <c r="CE24" s="393">
        <f t="shared" si="39"/>
        <v>0</v>
      </c>
      <c r="CF24" s="393"/>
      <c r="CG24" s="393">
        <f t="shared" si="45"/>
        <v>0</v>
      </c>
      <c r="DB24" s="333">
        <f>$J17</f>
        <v>4</v>
      </c>
    </row>
    <row r="25" spans="1:106">
      <c r="A25" s="187" t="s">
        <v>106</v>
      </c>
      <c r="C25" s="356">
        <f>+'Gas Input Table Summary'!$D$17</f>
        <v>0</v>
      </c>
      <c r="E25" s="193" t="s">
        <v>102</v>
      </c>
      <c r="F25" s="197">
        <f>+ROUND(F32/F30,3)</f>
        <v>4.5</v>
      </c>
      <c r="G25" s="197"/>
      <c r="H25" s="197"/>
      <c r="J25" s="333">
        <f t="shared" si="23"/>
        <v>12</v>
      </c>
      <c r="L25" s="366">
        <f t="shared" si="24"/>
        <v>2026</v>
      </c>
      <c r="M25" s="386">
        <f t="shared" si="46"/>
        <v>0</v>
      </c>
      <c r="N25" s="387">
        <f t="shared" si="40"/>
        <v>3.762</v>
      </c>
      <c r="O25" s="388">
        <f t="shared" si="0"/>
        <v>0</v>
      </c>
      <c r="P25" s="387">
        <f t="shared" si="1"/>
        <v>0</v>
      </c>
      <c r="Q25" s="389">
        <f t="shared" si="25"/>
        <v>0</v>
      </c>
      <c r="R25" s="390">
        <f t="shared" si="2"/>
        <v>0</v>
      </c>
      <c r="S25" s="372">
        <f t="shared" si="3"/>
        <v>0</v>
      </c>
      <c r="T25" s="389">
        <f t="shared" si="41"/>
        <v>159</v>
      </c>
      <c r="U25" s="391">
        <f t="shared" si="42"/>
        <v>0</v>
      </c>
      <c r="V25" s="386">
        <f t="shared" si="26"/>
        <v>0</v>
      </c>
      <c r="W25" s="392">
        <f t="shared" si="4"/>
        <v>2.6349999999999998</v>
      </c>
      <c r="X25" s="393">
        <f t="shared" si="5"/>
        <v>0</v>
      </c>
      <c r="Y25" s="393">
        <v>0</v>
      </c>
      <c r="Z25" s="393">
        <v>0</v>
      </c>
      <c r="AA25" s="389">
        <f t="shared" si="6"/>
        <v>0</v>
      </c>
      <c r="AB25" s="393">
        <f t="shared" si="7"/>
        <v>0</v>
      </c>
      <c r="AE25" s="366">
        <f t="shared" si="27"/>
        <v>2026</v>
      </c>
      <c r="AF25" s="393">
        <f t="shared" si="8"/>
        <v>0</v>
      </c>
      <c r="AG25" s="368">
        <f t="shared" si="9"/>
        <v>0</v>
      </c>
      <c r="AH25" s="393">
        <f t="shared" si="43"/>
        <v>0</v>
      </c>
      <c r="AJ25" s="394">
        <f t="shared" si="28"/>
        <v>0</v>
      </c>
      <c r="AK25" s="394">
        <f t="shared" si="28"/>
        <v>0</v>
      </c>
      <c r="AL25" s="395">
        <f t="shared" si="10"/>
        <v>0</v>
      </c>
      <c r="AN25" s="396">
        <f t="shared" si="11"/>
        <v>0</v>
      </c>
      <c r="AQ25" s="366">
        <f t="shared" si="29"/>
        <v>2026</v>
      </c>
      <c r="AR25" s="393">
        <f t="shared" si="12"/>
        <v>0</v>
      </c>
      <c r="AS25" s="393">
        <f t="shared" si="13"/>
        <v>0</v>
      </c>
      <c r="AT25" s="397">
        <f t="shared" si="14"/>
        <v>3.5000000000000003E-2</v>
      </c>
      <c r="AU25" s="398">
        <f t="shared" si="47"/>
        <v>0</v>
      </c>
      <c r="AV25" s="387">
        <f t="shared" si="15"/>
        <v>0.46</v>
      </c>
      <c r="AW25" s="393">
        <f t="shared" si="16"/>
        <v>0</v>
      </c>
      <c r="AX25" s="397"/>
      <c r="AY25" s="399"/>
      <c r="AZ25" s="393">
        <f t="shared" si="30"/>
        <v>0</v>
      </c>
      <c r="BA25" s="381"/>
      <c r="BB25" s="393">
        <v>0</v>
      </c>
      <c r="BC25" s="393">
        <v>0</v>
      </c>
      <c r="BD25" s="400">
        <f t="shared" si="31"/>
        <v>0</v>
      </c>
      <c r="BE25" s="393">
        <f t="shared" si="17"/>
        <v>0</v>
      </c>
      <c r="BH25" s="366">
        <f t="shared" si="32"/>
        <v>2026</v>
      </c>
      <c r="BI25" s="393">
        <v>0</v>
      </c>
      <c r="BJ25" s="369">
        <f t="shared" si="18"/>
        <v>0</v>
      </c>
      <c r="BK25" s="401">
        <f t="shared" si="19"/>
        <v>9.0239999999999991</v>
      </c>
      <c r="BL25" s="393">
        <f t="shared" si="44"/>
        <v>0</v>
      </c>
      <c r="BM25" s="401">
        <f t="shared" si="20"/>
        <v>0.215</v>
      </c>
      <c r="BN25" s="398">
        <f t="shared" si="48"/>
        <v>0</v>
      </c>
      <c r="BO25" s="402"/>
      <c r="BP25" s="393">
        <f t="shared" si="21"/>
        <v>0</v>
      </c>
      <c r="BR25" s="393">
        <f t="shared" si="49"/>
        <v>0</v>
      </c>
      <c r="BS25" s="393"/>
      <c r="BT25" s="393">
        <f t="shared" si="33"/>
        <v>0</v>
      </c>
      <c r="BW25" s="366">
        <f t="shared" si="34"/>
        <v>2026</v>
      </c>
      <c r="BX25" s="393">
        <f t="shared" si="22"/>
        <v>0</v>
      </c>
      <c r="BY25" s="369">
        <f t="shared" si="35"/>
        <v>0</v>
      </c>
      <c r="BZ25" s="403">
        <f t="shared" si="36"/>
        <v>0</v>
      </c>
      <c r="CA25" s="393">
        <f t="shared" si="37"/>
        <v>0</v>
      </c>
      <c r="CC25" s="393">
        <f t="shared" si="38"/>
        <v>0</v>
      </c>
      <c r="CD25" s="393">
        <f t="shared" si="38"/>
        <v>0</v>
      </c>
      <c r="CE25" s="393">
        <f t="shared" si="39"/>
        <v>0</v>
      </c>
      <c r="CF25" s="393"/>
      <c r="CG25" s="393">
        <f t="shared" si="45"/>
        <v>0</v>
      </c>
      <c r="DB25" s="333"/>
    </row>
    <row r="26" spans="1:106">
      <c r="A26" s="185" t="s">
        <v>18</v>
      </c>
      <c r="C26" s="358">
        <f>+'Gas Input Table Summary'!$D$18</f>
        <v>0</v>
      </c>
      <c r="F26" s="368"/>
      <c r="G26" s="368"/>
      <c r="H26" s="368"/>
      <c r="J26" s="333">
        <f t="shared" si="23"/>
        <v>13</v>
      </c>
      <c r="L26" s="366">
        <f t="shared" si="24"/>
        <v>2027</v>
      </c>
      <c r="M26" s="386">
        <f t="shared" si="46"/>
        <v>0</v>
      </c>
      <c r="N26" s="387">
        <f t="shared" si="40"/>
        <v>3.8940000000000001</v>
      </c>
      <c r="O26" s="388">
        <f t="shared" si="0"/>
        <v>0</v>
      </c>
      <c r="P26" s="387">
        <f t="shared" si="1"/>
        <v>0</v>
      </c>
      <c r="Q26" s="389">
        <f t="shared" si="25"/>
        <v>0</v>
      </c>
      <c r="R26" s="390">
        <f t="shared" si="2"/>
        <v>0</v>
      </c>
      <c r="S26" s="372">
        <f t="shared" si="3"/>
        <v>0</v>
      </c>
      <c r="T26" s="389">
        <f t="shared" si="41"/>
        <v>160</v>
      </c>
      <c r="U26" s="391">
        <f t="shared" si="42"/>
        <v>0</v>
      </c>
      <c r="V26" s="386">
        <f t="shared" si="26"/>
        <v>0</v>
      </c>
      <c r="W26" s="392">
        <f t="shared" si="4"/>
        <v>2.7280000000000002</v>
      </c>
      <c r="X26" s="393">
        <f t="shared" si="5"/>
        <v>0</v>
      </c>
      <c r="Y26" s="393">
        <v>0</v>
      </c>
      <c r="Z26" s="393">
        <v>0</v>
      </c>
      <c r="AA26" s="389">
        <f t="shared" si="6"/>
        <v>0</v>
      </c>
      <c r="AB26" s="393">
        <f t="shared" si="7"/>
        <v>0</v>
      </c>
      <c r="AE26" s="366">
        <f t="shared" si="27"/>
        <v>2027</v>
      </c>
      <c r="AF26" s="393">
        <f t="shared" si="8"/>
        <v>0</v>
      </c>
      <c r="AG26" s="368">
        <f t="shared" si="9"/>
        <v>0</v>
      </c>
      <c r="AH26" s="393">
        <f t="shared" si="43"/>
        <v>0</v>
      </c>
      <c r="AJ26" s="394">
        <f t="shared" si="28"/>
        <v>0</v>
      </c>
      <c r="AK26" s="394">
        <f t="shared" si="28"/>
        <v>0</v>
      </c>
      <c r="AL26" s="395">
        <f t="shared" si="10"/>
        <v>0</v>
      </c>
      <c r="AN26" s="396">
        <f t="shared" si="11"/>
        <v>0</v>
      </c>
      <c r="AQ26" s="366">
        <f t="shared" si="29"/>
        <v>2027</v>
      </c>
      <c r="AR26" s="393">
        <f t="shared" si="12"/>
        <v>0</v>
      </c>
      <c r="AS26" s="393">
        <f t="shared" si="13"/>
        <v>0</v>
      </c>
      <c r="AT26" s="397">
        <f t="shared" si="14"/>
        <v>3.5999999999999997E-2</v>
      </c>
      <c r="AU26" s="398">
        <f t="shared" si="47"/>
        <v>0</v>
      </c>
      <c r="AV26" s="387">
        <f t="shared" si="15"/>
        <v>0.47</v>
      </c>
      <c r="AW26" s="393">
        <f t="shared" si="16"/>
        <v>0</v>
      </c>
      <c r="AX26" s="397"/>
      <c r="AY26" s="399"/>
      <c r="AZ26" s="393">
        <f t="shared" si="30"/>
        <v>0</v>
      </c>
      <c r="BA26" s="381"/>
      <c r="BB26" s="393">
        <v>0</v>
      </c>
      <c r="BC26" s="393">
        <v>0</v>
      </c>
      <c r="BD26" s="400">
        <f t="shared" si="31"/>
        <v>0</v>
      </c>
      <c r="BE26" s="393">
        <f t="shared" si="17"/>
        <v>0</v>
      </c>
      <c r="BH26" s="366">
        <f t="shared" si="32"/>
        <v>2027</v>
      </c>
      <c r="BI26" s="393">
        <v>0</v>
      </c>
      <c r="BJ26" s="369">
        <f t="shared" si="18"/>
        <v>0</v>
      </c>
      <c r="BK26" s="401">
        <f t="shared" si="19"/>
        <v>9.34</v>
      </c>
      <c r="BL26" s="393">
        <f t="shared" si="44"/>
        <v>0</v>
      </c>
      <c r="BM26" s="401">
        <f t="shared" si="20"/>
        <v>0.222</v>
      </c>
      <c r="BN26" s="398">
        <f t="shared" si="48"/>
        <v>0</v>
      </c>
      <c r="BO26" s="402"/>
      <c r="BP26" s="393">
        <f t="shared" si="21"/>
        <v>0</v>
      </c>
      <c r="BR26" s="393">
        <f t="shared" si="49"/>
        <v>0</v>
      </c>
      <c r="BS26" s="393"/>
      <c r="BT26" s="393">
        <f t="shared" si="33"/>
        <v>0</v>
      </c>
      <c r="BW26" s="366">
        <f t="shared" si="34"/>
        <v>2027</v>
      </c>
      <c r="BX26" s="393">
        <f t="shared" si="22"/>
        <v>0</v>
      </c>
      <c r="BY26" s="369">
        <f t="shared" si="35"/>
        <v>0</v>
      </c>
      <c r="BZ26" s="403">
        <f t="shared" si="36"/>
        <v>0</v>
      </c>
      <c r="CA26" s="393">
        <f t="shared" si="37"/>
        <v>0</v>
      </c>
      <c r="CC26" s="393">
        <f t="shared" si="38"/>
        <v>0</v>
      </c>
      <c r="CD26" s="393">
        <f t="shared" si="38"/>
        <v>0</v>
      </c>
      <c r="CE26" s="393">
        <f t="shared" si="39"/>
        <v>0</v>
      </c>
      <c r="CF26" s="393"/>
      <c r="CG26" s="393">
        <f t="shared" si="45"/>
        <v>0</v>
      </c>
      <c r="DB26" s="333"/>
    </row>
    <row r="27" spans="1:106">
      <c r="A27" s="185"/>
      <c r="C27" s="358"/>
      <c r="E27" s="185" t="s">
        <v>70</v>
      </c>
      <c r="F27" s="369">
        <f>+'Database Inputs'!H12</f>
        <v>0</v>
      </c>
      <c r="G27" s="369"/>
      <c r="H27" s="369"/>
      <c r="J27" s="333">
        <f t="shared" si="23"/>
        <v>14</v>
      </c>
      <c r="L27" s="366">
        <f t="shared" si="24"/>
        <v>2028</v>
      </c>
      <c r="M27" s="386">
        <f t="shared" si="46"/>
        <v>0</v>
      </c>
      <c r="N27" s="387">
        <f t="shared" si="40"/>
        <v>4.03</v>
      </c>
      <c r="O27" s="388">
        <f t="shared" si="0"/>
        <v>0</v>
      </c>
      <c r="P27" s="387">
        <f t="shared" si="1"/>
        <v>0</v>
      </c>
      <c r="Q27" s="389">
        <f t="shared" si="25"/>
        <v>0</v>
      </c>
      <c r="R27" s="390">
        <f t="shared" si="2"/>
        <v>0</v>
      </c>
      <c r="S27" s="372">
        <f t="shared" si="3"/>
        <v>0</v>
      </c>
      <c r="T27" s="389">
        <f t="shared" si="41"/>
        <v>162</v>
      </c>
      <c r="U27" s="391">
        <f t="shared" si="42"/>
        <v>0</v>
      </c>
      <c r="V27" s="386">
        <f t="shared" si="26"/>
        <v>0</v>
      </c>
      <c r="W27" s="392">
        <f t="shared" si="4"/>
        <v>2.823</v>
      </c>
      <c r="X27" s="393">
        <f t="shared" si="5"/>
        <v>0</v>
      </c>
      <c r="Y27" s="393">
        <v>0</v>
      </c>
      <c r="Z27" s="393">
        <v>0</v>
      </c>
      <c r="AA27" s="389">
        <f t="shared" si="6"/>
        <v>0</v>
      </c>
      <c r="AB27" s="393">
        <f t="shared" si="7"/>
        <v>0</v>
      </c>
      <c r="AE27" s="366">
        <f t="shared" si="27"/>
        <v>2028</v>
      </c>
      <c r="AF27" s="393">
        <f t="shared" si="8"/>
        <v>0</v>
      </c>
      <c r="AG27" s="368">
        <f t="shared" si="9"/>
        <v>0</v>
      </c>
      <c r="AH27" s="393">
        <f t="shared" si="43"/>
        <v>0</v>
      </c>
      <c r="AJ27" s="394">
        <f t="shared" si="28"/>
        <v>0</v>
      </c>
      <c r="AK27" s="394">
        <f t="shared" si="28"/>
        <v>0</v>
      </c>
      <c r="AL27" s="395">
        <f t="shared" si="10"/>
        <v>0</v>
      </c>
      <c r="AN27" s="396">
        <f t="shared" si="11"/>
        <v>0</v>
      </c>
      <c r="AQ27" s="366">
        <f t="shared" si="29"/>
        <v>2028</v>
      </c>
      <c r="AR27" s="393">
        <f t="shared" si="12"/>
        <v>0</v>
      </c>
      <c r="AS27" s="393">
        <f t="shared" si="13"/>
        <v>0</v>
      </c>
      <c r="AT27" s="397">
        <f t="shared" si="14"/>
        <v>3.6999999999999998E-2</v>
      </c>
      <c r="AU27" s="398">
        <f t="shared" si="47"/>
        <v>0</v>
      </c>
      <c r="AV27" s="387">
        <f t="shared" si="15"/>
        <v>0.48099999999999998</v>
      </c>
      <c r="AW27" s="393">
        <f t="shared" si="16"/>
        <v>0</v>
      </c>
      <c r="AX27" s="397"/>
      <c r="AY27" s="399"/>
      <c r="AZ27" s="393">
        <f t="shared" si="30"/>
        <v>0</v>
      </c>
      <c r="BA27" s="381"/>
      <c r="BB27" s="393">
        <v>0</v>
      </c>
      <c r="BC27" s="393">
        <v>0</v>
      </c>
      <c r="BD27" s="400">
        <f t="shared" si="31"/>
        <v>0</v>
      </c>
      <c r="BE27" s="393">
        <f t="shared" si="17"/>
        <v>0</v>
      </c>
      <c r="BH27" s="366">
        <f t="shared" si="32"/>
        <v>2028</v>
      </c>
      <c r="BI27" s="393">
        <v>0</v>
      </c>
      <c r="BJ27" s="369">
        <f t="shared" si="18"/>
        <v>0</v>
      </c>
      <c r="BK27" s="401">
        <f t="shared" si="19"/>
        <v>9.6669999999999998</v>
      </c>
      <c r="BL27" s="393">
        <f t="shared" si="44"/>
        <v>0</v>
      </c>
      <c r="BM27" s="401">
        <f t="shared" si="20"/>
        <v>0.23</v>
      </c>
      <c r="BN27" s="398">
        <f t="shared" si="48"/>
        <v>0</v>
      </c>
      <c r="BO27" s="402"/>
      <c r="BP27" s="393">
        <f t="shared" si="21"/>
        <v>0</v>
      </c>
      <c r="BR27" s="393">
        <f t="shared" si="49"/>
        <v>0</v>
      </c>
      <c r="BS27" s="393"/>
      <c r="BT27" s="393">
        <f t="shared" si="33"/>
        <v>0</v>
      </c>
      <c r="BW27" s="366">
        <f t="shared" si="34"/>
        <v>2028</v>
      </c>
      <c r="BX27" s="393">
        <f t="shared" si="22"/>
        <v>0</v>
      </c>
      <c r="BY27" s="369">
        <f t="shared" si="35"/>
        <v>0</v>
      </c>
      <c r="BZ27" s="403">
        <f t="shared" si="36"/>
        <v>0</v>
      </c>
      <c r="CA27" s="393">
        <f t="shared" si="37"/>
        <v>0</v>
      </c>
      <c r="CC27" s="393">
        <f t="shared" si="38"/>
        <v>0</v>
      </c>
      <c r="CD27" s="393">
        <f t="shared" si="38"/>
        <v>0</v>
      </c>
      <c r="CE27" s="393">
        <f t="shared" si="39"/>
        <v>0</v>
      </c>
      <c r="CF27" s="393"/>
      <c r="CG27" s="393">
        <f t="shared" si="45"/>
        <v>0</v>
      </c>
      <c r="DB27" s="333"/>
    </row>
    <row r="28" spans="1:106">
      <c r="A28" s="185" t="s">
        <v>71</v>
      </c>
      <c r="C28" s="365">
        <f>+'Gas Input Table Summary'!$D$19</f>
        <v>2.18E-2</v>
      </c>
      <c r="E28" s="185" t="s">
        <v>72</v>
      </c>
      <c r="F28" s="369">
        <v>0</v>
      </c>
      <c r="G28" s="369"/>
      <c r="H28" s="369"/>
      <c r="J28" s="333">
        <f t="shared" si="23"/>
        <v>15</v>
      </c>
      <c r="L28" s="366">
        <f t="shared" si="24"/>
        <v>2029</v>
      </c>
      <c r="M28" s="386">
        <f t="shared" si="46"/>
        <v>0</v>
      </c>
      <c r="N28" s="387">
        <f t="shared" si="40"/>
        <v>4.1710000000000003</v>
      </c>
      <c r="O28" s="388">
        <f t="shared" si="0"/>
        <v>0</v>
      </c>
      <c r="P28" s="387">
        <f t="shared" si="1"/>
        <v>0</v>
      </c>
      <c r="Q28" s="389">
        <f t="shared" si="25"/>
        <v>0</v>
      </c>
      <c r="R28" s="390">
        <f t="shared" si="2"/>
        <v>0</v>
      </c>
      <c r="S28" s="372">
        <f t="shared" si="3"/>
        <v>0</v>
      </c>
      <c r="T28" s="389">
        <f t="shared" si="41"/>
        <v>163</v>
      </c>
      <c r="U28" s="391">
        <f t="shared" si="42"/>
        <v>0</v>
      </c>
      <c r="V28" s="386">
        <f t="shared" si="26"/>
        <v>0</v>
      </c>
      <c r="W28" s="392">
        <f t="shared" si="4"/>
        <v>2.9220000000000002</v>
      </c>
      <c r="X28" s="393">
        <f t="shared" si="5"/>
        <v>0</v>
      </c>
      <c r="Y28" s="393">
        <v>0</v>
      </c>
      <c r="Z28" s="393">
        <v>0</v>
      </c>
      <c r="AA28" s="389">
        <f t="shared" si="6"/>
        <v>0</v>
      </c>
      <c r="AB28" s="393">
        <f t="shared" si="7"/>
        <v>0</v>
      </c>
      <c r="AE28" s="366">
        <f t="shared" si="27"/>
        <v>2029</v>
      </c>
      <c r="AF28" s="393">
        <f t="shared" si="8"/>
        <v>0</v>
      </c>
      <c r="AG28" s="368">
        <f t="shared" si="9"/>
        <v>0</v>
      </c>
      <c r="AH28" s="393">
        <f t="shared" si="43"/>
        <v>0</v>
      </c>
      <c r="AJ28" s="394">
        <f t="shared" si="28"/>
        <v>0</v>
      </c>
      <c r="AK28" s="394">
        <f t="shared" si="28"/>
        <v>0</v>
      </c>
      <c r="AL28" s="395">
        <f t="shared" si="10"/>
        <v>0</v>
      </c>
      <c r="AN28" s="396">
        <f t="shared" si="11"/>
        <v>0</v>
      </c>
      <c r="AQ28" s="366">
        <f t="shared" si="29"/>
        <v>2029</v>
      </c>
      <c r="AR28" s="393">
        <f t="shared" si="12"/>
        <v>0</v>
      </c>
      <c r="AS28" s="393">
        <f t="shared" si="13"/>
        <v>0</v>
      </c>
      <c r="AT28" s="397">
        <f t="shared" si="14"/>
        <v>3.7999999999999999E-2</v>
      </c>
      <c r="AU28" s="398">
        <f t="shared" si="47"/>
        <v>0</v>
      </c>
      <c r="AV28" s="387">
        <f t="shared" si="15"/>
        <v>0.49199999999999999</v>
      </c>
      <c r="AW28" s="393">
        <f t="shared" si="16"/>
        <v>0</v>
      </c>
      <c r="AX28" s="397"/>
      <c r="AY28" s="399"/>
      <c r="AZ28" s="393">
        <f t="shared" si="30"/>
        <v>0</v>
      </c>
      <c r="BA28" s="381"/>
      <c r="BB28" s="393">
        <v>0</v>
      </c>
      <c r="BC28" s="393">
        <v>0</v>
      </c>
      <c r="BD28" s="400">
        <f t="shared" si="31"/>
        <v>0</v>
      </c>
      <c r="BE28" s="393">
        <f t="shared" si="17"/>
        <v>0</v>
      </c>
      <c r="BH28" s="366">
        <f t="shared" si="32"/>
        <v>2029</v>
      </c>
      <c r="BI28" s="393">
        <v>0</v>
      </c>
      <c r="BJ28" s="369">
        <f t="shared" si="18"/>
        <v>0</v>
      </c>
      <c r="BK28" s="401">
        <f t="shared" si="19"/>
        <v>10.005000000000001</v>
      </c>
      <c r="BL28" s="393">
        <f t="shared" si="44"/>
        <v>0</v>
      </c>
      <c r="BM28" s="401">
        <f t="shared" si="20"/>
        <v>0.23799999999999999</v>
      </c>
      <c r="BN28" s="398">
        <f t="shared" si="48"/>
        <v>0</v>
      </c>
      <c r="BO28" s="402"/>
      <c r="BP28" s="393">
        <f t="shared" si="21"/>
        <v>0</v>
      </c>
      <c r="BR28" s="393">
        <f t="shared" si="49"/>
        <v>0</v>
      </c>
      <c r="BS28" s="393"/>
      <c r="BT28" s="393">
        <f t="shared" si="33"/>
        <v>0</v>
      </c>
      <c r="BW28" s="366">
        <f t="shared" si="34"/>
        <v>2029</v>
      </c>
      <c r="BX28" s="393">
        <f t="shared" si="22"/>
        <v>0</v>
      </c>
      <c r="BY28" s="369">
        <f t="shared" si="35"/>
        <v>0</v>
      </c>
      <c r="BZ28" s="403">
        <f t="shared" si="36"/>
        <v>0</v>
      </c>
      <c r="CA28" s="393">
        <f t="shared" si="37"/>
        <v>0</v>
      </c>
      <c r="CC28" s="393">
        <f t="shared" si="38"/>
        <v>0</v>
      </c>
      <c r="CD28" s="393">
        <f t="shared" si="38"/>
        <v>0</v>
      </c>
      <c r="CE28" s="393">
        <f t="shared" si="39"/>
        <v>0</v>
      </c>
      <c r="CF28" s="393"/>
      <c r="CG28" s="393">
        <f t="shared" si="45"/>
        <v>0</v>
      </c>
      <c r="DB28" s="333"/>
    </row>
    <row r="29" spans="1:106">
      <c r="A29" s="185" t="s">
        <v>47</v>
      </c>
      <c r="C29" s="358">
        <f>+'Gas Input Table Summary'!$D$20</f>
        <v>3.5000000000000003E-2</v>
      </c>
      <c r="E29" s="185"/>
      <c r="F29" s="369"/>
      <c r="G29" s="369"/>
      <c r="H29" s="369"/>
      <c r="J29" s="333">
        <f t="shared" si="23"/>
        <v>16</v>
      </c>
      <c r="L29" s="366">
        <f t="shared" si="24"/>
        <v>2030</v>
      </c>
      <c r="M29" s="386">
        <f t="shared" si="46"/>
        <v>0</v>
      </c>
      <c r="N29" s="387">
        <f t="shared" si="40"/>
        <v>4.3170000000000002</v>
      </c>
      <c r="O29" s="388">
        <f t="shared" si="0"/>
        <v>0</v>
      </c>
      <c r="P29" s="387">
        <f t="shared" si="1"/>
        <v>0</v>
      </c>
      <c r="Q29" s="389">
        <f t="shared" si="25"/>
        <v>0</v>
      </c>
      <c r="R29" s="390">
        <f t="shared" si="2"/>
        <v>0</v>
      </c>
      <c r="S29" s="372">
        <f t="shared" si="3"/>
        <v>0</v>
      </c>
      <c r="T29" s="389">
        <f t="shared" si="41"/>
        <v>165</v>
      </c>
      <c r="U29" s="391">
        <f t="shared" si="42"/>
        <v>0</v>
      </c>
      <c r="V29" s="386">
        <f t="shared" si="26"/>
        <v>0</v>
      </c>
      <c r="W29" s="392">
        <f t="shared" si="4"/>
        <v>3.024</v>
      </c>
      <c r="X29" s="393">
        <f t="shared" si="5"/>
        <v>0</v>
      </c>
      <c r="Y29" s="409">
        <v>0</v>
      </c>
      <c r="Z29" s="409">
        <v>0</v>
      </c>
      <c r="AA29" s="410">
        <f t="shared" si="6"/>
        <v>0</v>
      </c>
      <c r="AB29" s="409">
        <f t="shared" si="7"/>
        <v>0</v>
      </c>
      <c r="AE29" s="366">
        <f t="shared" si="27"/>
        <v>2030</v>
      </c>
      <c r="AF29" s="393">
        <f t="shared" si="8"/>
        <v>0</v>
      </c>
      <c r="AG29" s="368">
        <f t="shared" si="9"/>
        <v>0</v>
      </c>
      <c r="AH29" s="393">
        <f t="shared" si="43"/>
        <v>0</v>
      </c>
      <c r="AJ29" s="394">
        <f t="shared" si="28"/>
        <v>0</v>
      </c>
      <c r="AK29" s="394">
        <f t="shared" si="28"/>
        <v>0</v>
      </c>
      <c r="AL29" s="395">
        <f t="shared" si="10"/>
        <v>0</v>
      </c>
      <c r="AN29" s="396">
        <f t="shared" si="11"/>
        <v>0</v>
      </c>
      <c r="AQ29" s="366">
        <f t="shared" si="29"/>
        <v>2030</v>
      </c>
      <c r="AR29" s="409">
        <f t="shared" si="12"/>
        <v>0</v>
      </c>
      <c r="AS29" s="393">
        <f t="shared" si="13"/>
        <v>0</v>
      </c>
      <c r="AT29" s="397">
        <f t="shared" si="14"/>
        <v>0.04</v>
      </c>
      <c r="AU29" s="398">
        <f t="shared" si="47"/>
        <v>0</v>
      </c>
      <c r="AV29" s="387">
        <f t="shared" si="15"/>
        <v>0.504</v>
      </c>
      <c r="AW29" s="393">
        <f t="shared" si="16"/>
        <v>0</v>
      </c>
      <c r="AX29" s="397"/>
      <c r="AY29" s="399"/>
      <c r="AZ29" s="409">
        <f t="shared" si="30"/>
        <v>0</v>
      </c>
      <c r="BA29" s="381"/>
      <c r="BB29" s="409">
        <v>0</v>
      </c>
      <c r="BC29" s="393">
        <v>0</v>
      </c>
      <c r="BD29" s="400">
        <f t="shared" si="31"/>
        <v>0</v>
      </c>
      <c r="BE29" s="409">
        <f t="shared" si="17"/>
        <v>0</v>
      </c>
      <c r="BH29" s="366">
        <f t="shared" si="32"/>
        <v>2030</v>
      </c>
      <c r="BI29" s="393">
        <v>0</v>
      </c>
      <c r="BJ29" s="369">
        <f t="shared" si="18"/>
        <v>0</v>
      </c>
      <c r="BK29" s="401">
        <f t="shared" si="19"/>
        <v>10.355</v>
      </c>
      <c r="BL29" s="393">
        <f t="shared" si="44"/>
        <v>0</v>
      </c>
      <c r="BM29" s="401">
        <f t="shared" si="20"/>
        <v>0.246</v>
      </c>
      <c r="BN29" s="398">
        <f t="shared" si="48"/>
        <v>0</v>
      </c>
      <c r="BO29" s="402"/>
      <c r="BP29" s="393">
        <f t="shared" si="21"/>
        <v>0</v>
      </c>
      <c r="BR29" s="393">
        <f t="shared" si="49"/>
        <v>0</v>
      </c>
      <c r="BS29" s="393"/>
      <c r="BT29" s="393">
        <f t="shared" si="33"/>
        <v>0</v>
      </c>
      <c r="BW29" s="366">
        <f t="shared" si="34"/>
        <v>2030</v>
      </c>
      <c r="BX29" s="393">
        <f t="shared" si="22"/>
        <v>0</v>
      </c>
      <c r="BY29" s="369">
        <f t="shared" si="35"/>
        <v>0</v>
      </c>
      <c r="BZ29" s="403">
        <f t="shared" si="36"/>
        <v>0</v>
      </c>
      <c r="CA29" s="393">
        <f t="shared" si="37"/>
        <v>0</v>
      </c>
      <c r="CC29" s="393">
        <f t="shared" si="38"/>
        <v>0</v>
      </c>
      <c r="CD29" s="393">
        <f t="shared" si="38"/>
        <v>0</v>
      </c>
      <c r="CE29" s="393">
        <f t="shared" si="39"/>
        <v>0</v>
      </c>
      <c r="CF29" s="393"/>
      <c r="CG29" s="393">
        <f t="shared" si="45"/>
        <v>0</v>
      </c>
      <c r="DB29" s="333"/>
    </row>
    <row r="30" spans="1:106">
      <c r="E30" s="185" t="s">
        <v>73</v>
      </c>
      <c r="F30" s="196">
        <f>+'Total Program Inputs'!C13</f>
        <v>4</v>
      </c>
      <c r="G30" s="196"/>
      <c r="H30" s="196"/>
      <c r="J30" s="333">
        <f t="shared" si="23"/>
        <v>17</v>
      </c>
      <c r="L30" s="366">
        <f t="shared" si="24"/>
        <v>2031</v>
      </c>
      <c r="M30" s="386">
        <f t="shared" si="46"/>
        <v>0</v>
      </c>
      <c r="N30" s="387">
        <f t="shared" si="40"/>
        <v>4.468</v>
      </c>
      <c r="O30" s="388">
        <f t="shared" si="0"/>
        <v>0</v>
      </c>
      <c r="P30" s="387">
        <f t="shared" si="1"/>
        <v>0</v>
      </c>
      <c r="Q30" s="389">
        <f t="shared" si="25"/>
        <v>0</v>
      </c>
      <c r="R30" s="390">
        <f t="shared" si="2"/>
        <v>0</v>
      </c>
      <c r="S30" s="372">
        <f t="shared" si="3"/>
        <v>0</v>
      </c>
      <c r="T30" s="389">
        <f t="shared" si="41"/>
        <v>167</v>
      </c>
      <c r="U30" s="391">
        <f t="shared" si="42"/>
        <v>0</v>
      </c>
      <c r="V30" s="386">
        <f t="shared" si="26"/>
        <v>0</v>
      </c>
      <c r="W30" s="392">
        <f t="shared" si="4"/>
        <v>3.13</v>
      </c>
      <c r="X30" s="393">
        <f t="shared" si="5"/>
        <v>0</v>
      </c>
      <c r="Y30" s="409">
        <v>0</v>
      </c>
      <c r="Z30" s="409">
        <v>0</v>
      </c>
      <c r="AA30" s="410">
        <f t="shared" si="6"/>
        <v>0</v>
      </c>
      <c r="AB30" s="409">
        <f t="shared" si="7"/>
        <v>0</v>
      </c>
      <c r="AE30" s="366">
        <f t="shared" si="27"/>
        <v>2031</v>
      </c>
      <c r="AF30" s="393">
        <f t="shared" si="8"/>
        <v>0</v>
      </c>
      <c r="AG30" s="368">
        <f t="shared" si="9"/>
        <v>0</v>
      </c>
      <c r="AH30" s="393">
        <f t="shared" si="43"/>
        <v>0</v>
      </c>
      <c r="AJ30" s="394">
        <f t="shared" si="28"/>
        <v>0</v>
      </c>
      <c r="AK30" s="394">
        <f t="shared" si="28"/>
        <v>0</v>
      </c>
      <c r="AL30" s="395">
        <f t="shared" si="10"/>
        <v>0</v>
      </c>
      <c r="AN30" s="396">
        <f t="shared" si="11"/>
        <v>0</v>
      </c>
      <c r="AQ30" s="366">
        <f t="shared" si="29"/>
        <v>2031</v>
      </c>
      <c r="AR30" s="409">
        <f t="shared" si="12"/>
        <v>0</v>
      </c>
      <c r="AS30" s="393">
        <f t="shared" si="13"/>
        <v>0</v>
      </c>
      <c r="AT30" s="397">
        <f t="shared" si="14"/>
        <v>4.1000000000000002E-2</v>
      </c>
      <c r="AU30" s="398">
        <f t="shared" si="47"/>
        <v>0</v>
      </c>
      <c r="AV30" s="387">
        <f t="shared" si="15"/>
        <v>0.51500000000000001</v>
      </c>
      <c r="AW30" s="393">
        <f t="shared" si="16"/>
        <v>0</v>
      </c>
      <c r="AX30" s="397"/>
      <c r="AY30" s="399"/>
      <c r="AZ30" s="409">
        <f t="shared" si="30"/>
        <v>0</v>
      </c>
      <c r="BA30" s="381"/>
      <c r="BB30" s="409">
        <v>0</v>
      </c>
      <c r="BC30" s="393">
        <v>0</v>
      </c>
      <c r="BD30" s="400">
        <f t="shared" si="31"/>
        <v>0</v>
      </c>
      <c r="BE30" s="409">
        <f t="shared" si="17"/>
        <v>0</v>
      </c>
      <c r="BH30" s="366">
        <f t="shared" si="32"/>
        <v>2031</v>
      </c>
      <c r="BI30" s="393">
        <v>0</v>
      </c>
      <c r="BJ30" s="369">
        <f t="shared" si="18"/>
        <v>0</v>
      </c>
      <c r="BK30" s="401">
        <f t="shared" si="19"/>
        <v>10.718</v>
      </c>
      <c r="BL30" s="393">
        <f t="shared" si="44"/>
        <v>0</v>
      </c>
      <c r="BM30" s="401">
        <f t="shared" si="20"/>
        <v>0.255</v>
      </c>
      <c r="BN30" s="398">
        <f t="shared" si="48"/>
        <v>0</v>
      </c>
      <c r="BO30" s="402"/>
      <c r="BP30" s="393">
        <f t="shared" si="21"/>
        <v>0</v>
      </c>
      <c r="BR30" s="393">
        <f t="shared" si="49"/>
        <v>0</v>
      </c>
      <c r="BS30" s="393"/>
      <c r="BT30" s="393">
        <f t="shared" si="33"/>
        <v>0</v>
      </c>
      <c r="BW30" s="366">
        <f t="shared" si="34"/>
        <v>2031</v>
      </c>
      <c r="BX30" s="393">
        <f t="shared" si="22"/>
        <v>0</v>
      </c>
      <c r="BY30" s="369">
        <f t="shared" si="35"/>
        <v>0</v>
      </c>
      <c r="BZ30" s="403">
        <f t="shared" si="36"/>
        <v>0</v>
      </c>
      <c r="CA30" s="393">
        <f t="shared" si="37"/>
        <v>0</v>
      </c>
      <c r="CC30" s="393">
        <f t="shared" si="38"/>
        <v>0</v>
      </c>
      <c r="CD30" s="393">
        <f t="shared" si="38"/>
        <v>0</v>
      </c>
      <c r="CE30" s="393">
        <f t="shared" si="39"/>
        <v>0</v>
      </c>
      <c r="CF30" s="393"/>
      <c r="CG30" s="393">
        <f t="shared" si="45"/>
        <v>0</v>
      </c>
      <c r="DB30" s="333">
        <f>$J18</f>
        <v>5</v>
      </c>
    </row>
    <row r="31" spans="1:106">
      <c r="A31" s="187" t="s">
        <v>74</v>
      </c>
      <c r="C31" s="361">
        <f>+'Gas Input Table Summary'!$D$21</f>
        <v>5.0999999999999997E-2</v>
      </c>
      <c r="F31" s="368"/>
      <c r="G31" s="368"/>
      <c r="H31" s="368"/>
      <c r="J31" s="333">
        <f t="shared" si="23"/>
        <v>18</v>
      </c>
      <c r="L31" s="366">
        <f t="shared" si="24"/>
        <v>2032</v>
      </c>
      <c r="M31" s="386">
        <f t="shared" si="46"/>
        <v>0</v>
      </c>
      <c r="N31" s="387">
        <f t="shared" si="40"/>
        <v>4.625</v>
      </c>
      <c r="O31" s="388">
        <f t="shared" si="0"/>
        <v>0</v>
      </c>
      <c r="P31" s="387">
        <f t="shared" si="1"/>
        <v>0</v>
      </c>
      <c r="Q31" s="389">
        <f t="shared" si="25"/>
        <v>0</v>
      </c>
      <c r="R31" s="390">
        <f t="shared" si="2"/>
        <v>0</v>
      </c>
      <c r="S31" s="372">
        <f t="shared" si="3"/>
        <v>0</v>
      </c>
      <c r="T31" s="389">
        <f t="shared" si="41"/>
        <v>168</v>
      </c>
      <c r="U31" s="391">
        <f t="shared" si="42"/>
        <v>0</v>
      </c>
      <c r="V31" s="386">
        <f t="shared" si="26"/>
        <v>0</v>
      </c>
      <c r="W31" s="392">
        <f t="shared" si="4"/>
        <v>3.2389999999999999</v>
      </c>
      <c r="X31" s="393">
        <f t="shared" si="5"/>
        <v>0</v>
      </c>
      <c r="Y31" s="409">
        <v>0</v>
      </c>
      <c r="Z31" s="409">
        <v>0</v>
      </c>
      <c r="AA31" s="410">
        <f t="shared" si="6"/>
        <v>0</v>
      </c>
      <c r="AB31" s="409">
        <f t="shared" si="7"/>
        <v>0</v>
      </c>
      <c r="AE31" s="366">
        <f t="shared" si="27"/>
        <v>2032</v>
      </c>
      <c r="AF31" s="393">
        <f t="shared" si="8"/>
        <v>0</v>
      </c>
      <c r="AG31" s="368">
        <f t="shared" si="9"/>
        <v>0</v>
      </c>
      <c r="AH31" s="393">
        <f t="shared" si="43"/>
        <v>0</v>
      </c>
      <c r="AJ31" s="394">
        <f t="shared" si="28"/>
        <v>0</v>
      </c>
      <c r="AK31" s="394">
        <f t="shared" si="28"/>
        <v>0</v>
      </c>
      <c r="AL31" s="395">
        <f t="shared" si="10"/>
        <v>0</v>
      </c>
      <c r="AN31" s="396">
        <f t="shared" si="11"/>
        <v>0</v>
      </c>
      <c r="AQ31" s="366">
        <f t="shared" si="29"/>
        <v>2032</v>
      </c>
      <c r="AR31" s="409">
        <f t="shared" si="12"/>
        <v>0</v>
      </c>
      <c r="AS31" s="393">
        <f t="shared" si="13"/>
        <v>0</v>
      </c>
      <c r="AT31" s="397">
        <f t="shared" si="14"/>
        <v>4.2999999999999997E-2</v>
      </c>
      <c r="AU31" s="398">
        <f t="shared" si="47"/>
        <v>0</v>
      </c>
      <c r="AV31" s="387">
        <f t="shared" si="15"/>
        <v>0.52700000000000002</v>
      </c>
      <c r="AW31" s="393">
        <f t="shared" si="16"/>
        <v>0</v>
      </c>
      <c r="AX31" s="397"/>
      <c r="AY31" s="399"/>
      <c r="AZ31" s="409">
        <f t="shared" si="30"/>
        <v>0</v>
      </c>
      <c r="BA31" s="381"/>
      <c r="BB31" s="409">
        <v>0</v>
      </c>
      <c r="BC31" s="393">
        <v>0</v>
      </c>
      <c r="BD31" s="400">
        <f t="shared" si="31"/>
        <v>0</v>
      </c>
      <c r="BE31" s="409">
        <f t="shared" si="17"/>
        <v>0</v>
      </c>
      <c r="BH31" s="366">
        <f t="shared" si="32"/>
        <v>2032</v>
      </c>
      <c r="BI31" s="393">
        <v>0</v>
      </c>
      <c r="BJ31" s="369">
        <f t="shared" si="18"/>
        <v>0</v>
      </c>
      <c r="BK31" s="401">
        <f t="shared" si="19"/>
        <v>11.093</v>
      </c>
      <c r="BL31" s="393">
        <f t="shared" si="44"/>
        <v>0</v>
      </c>
      <c r="BM31" s="401">
        <f t="shared" si="20"/>
        <v>0.26400000000000001</v>
      </c>
      <c r="BN31" s="398">
        <f t="shared" si="48"/>
        <v>0</v>
      </c>
      <c r="BO31" s="402"/>
      <c r="BP31" s="393">
        <f t="shared" si="21"/>
        <v>0</v>
      </c>
      <c r="BR31" s="393">
        <f t="shared" si="49"/>
        <v>0</v>
      </c>
      <c r="BS31" s="393"/>
      <c r="BT31" s="393">
        <f t="shared" si="33"/>
        <v>0</v>
      </c>
      <c r="BW31" s="366">
        <f t="shared" si="34"/>
        <v>2032</v>
      </c>
      <c r="BX31" s="393">
        <f t="shared" si="22"/>
        <v>0</v>
      </c>
      <c r="BY31" s="369">
        <f t="shared" si="35"/>
        <v>0</v>
      </c>
      <c r="BZ31" s="403">
        <f t="shared" si="36"/>
        <v>0</v>
      </c>
      <c r="CA31" s="393">
        <f t="shared" si="37"/>
        <v>0</v>
      </c>
      <c r="CC31" s="393">
        <f t="shared" si="38"/>
        <v>0</v>
      </c>
      <c r="CD31" s="393">
        <f t="shared" si="38"/>
        <v>0</v>
      </c>
      <c r="CE31" s="393">
        <f t="shared" si="39"/>
        <v>0</v>
      </c>
      <c r="CF31" s="393"/>
      <c r="CG31" s="393">
        <f t="shared" si="45"/>
        <v>0</v>
      </c>
      <c r="DB31" s="333">
        <f>$J19</f>
        <v>6</v>
      </c>
    </row>
    <row r="32" spans="1:106">
      <c r="E32" s="193" t="s">
        <v>103</v>
      </c>
      <c r="F32" s="411">
        <f>+'Total Program Inputs'!E13</f>
        <v>18</v>
      </c>
      <c r="G32" s="408"/>
      <c r="H32" s="408"/>
      <c r="J32" s="333">
        <f t="shared" si="23"/>
        <v>19</v>
      </c>
      <c r="L32" s="366">
        <f t="shared" si="24"/>
        <v>2033</v>
      </c>
      <c r="M32" s="386">
        <f t="shared" si="46"/>
        <v>0</v>
      </c>
      <c r="N32" s="387">
        <f t="shared" si="40"/>
        <v>4.7869999999999999</v>
      </c>
      <c r="O32" s="388">
        <f t="shared" si="0"/>
        <v>0</v>
      </c>
      <c r="P32" s="387">
        <f t="shared" si="1"/>
        <v>0</v>
      </c>
      <c r="Q32" s="389">
        <f t="shared" si="25"/>
        <v>0</v>
      </c>
      <c r="R32" s="390">
        <f t="shared" si="2"/>
        <v>0</v>
      </c>
      <c r="S32" s="372">
        <f t="shared" si="3"/>
        <v>0</v>
      </c>
      <c r="T32" s="389">
        <f t="shared" si="41"/>
        <v>170</v>
      </c>
      <c r="U32" s="391">
        <f t="shared" si="42"/>
        <v>0</v>
      </c>
      <c r="V32" s="386">
        <f t="shared" si="26"/>
        <v>0</v>
      </c>
      <c r="W32" s="392">
        <f t="shared" si="4"/>
        <v>3.3530000000000002</v>
      </c>
      <c r="X32" s="393">
        <f t="shared" si="5"/>
        <v>0</v>
      </c>
      <c r="Y32" s="409">
        <v>0</v>
      </c>
      <c r="Z32" s="409">
        <v>0</v>
      </c>
      <c r="AA32" s="410">
        <f t="shared" si="6"/>
        <v>0</v>
      </c>
      <c r="AB32" s="409">
        <f t="shared" si="7"/>
        <v>0</v>
      </c>
      <c r="AE32" s="366">
        <f t="shared" si="27"/>
        <v>2033</v>
      </c>
      <c r="AF32" s="393">
        <f t="shared" si="8"/>
        <v>0</v>
      </c>
      <c r="AG32" s="368">
        <f t="shared" si="9"/>
        <v>0</v>
      </c>
      <c r="AH32" s="393">
        <f t="shared" si="43"/>
        <v>0</v>
      </c>
      <c r="AJ32" s="394">
        <f t="shared" si="28"/>
        <v>0</v>
      </c>
      <c r="AK32" s="394">
        <f t="shared" si="28"/>
        <v>0</v>
      </c>
      <c r="AL32" s="395">
        <f t="shared" si="10"/>
        <v>0</v>
      </c>
      <c r="AN32" s="396">
        <f t="shared" si="11"/>
        <v>0</v>
      </c>
      <c r="AQ32" s="366">
        <f t="shared" si="29"/>
        <v>2033</v>
      </c>
      <c r="AR32" s="409">
        <f t="shared" si="12"/>
        <v>0</v>
      </c>
      <c r="AS32" s="393">
        <f t="shared" si="13"/>
        <v>0</v>
      </c>
      <c r="AT32" s="397">
        <f t="shared" si="14"/>
        <v>4.3999999999999997E-2</v>
      </c>
      <c r="AU32" s="398">
        <f t="shared" si="47"/>
        <v>0</v>
      </c>
      <c r="AV32" s="387">
        <f t="shared" si="15"/>
        <v>0.53900000000000003</v>
      </c>
      <c r="AW32" s="393">
        <f t="shared" si="16"/>
        <v>0</v>
      </c>
      <c r="AX32" s="397"/>
      <c r="AY32" s="399"/>
      <c r="AZ32" s="409">
        <f t="shared" si="30"/>
        <v>0</v>
      </c>
      <c r="BA32" s="381"/>
      <c r="BB32" s="409">
        <v>0</v>
      </c>
      <c r="BC32" s="393">
        <v>0</v>
      </c>
      <c r="BD32" s="400">
        <f t="shared" si="31"/>
        <v>0</v>
      </c>
      <c r="BE32" s="409">
        <f t="shared" si="17"/>
        <v>0</v>
      </c>
      <c r="BH32" s="366">
        <f t="shared" si="32"/>
        <v>2033</v>
      </c>
      <c r="BI32" s="393">
        <v>0</v>
      </c>
      <c r="BJ32" s="369">
        <f t="shared" si="18"/>
        <v>0</v>
      </c>
      <c r="BK32" s="401">
        <f t="shared" si="19"/>
        <v>11.481</v>
      </c>
      <c r="BL32" s="393">
        <f t="shared" si="44"/>
        <v>0</v>
      </c>
      <c r="BM32" s="401">
        <f t="shared" si="20"/>
        <v>0.27300000000000002</v>
      </c>
      <c r="BN32" s="398">
        <f t="shared" si="48"/>
        <v>0</v>
      </c>
      <c r="BO32" s="402"/>
      <c r="BP32" s="393">
        <f t="shared" si="21"/>
        <v>0</v>
      </c>
      <c r="BR32" s="393">
        <f t="shared" si="49"/>
        <v>0</v>
      </c>
      <c r="BS32" s="393"/>
      <c r="BT32" s="393">
        <f t="shared" si="33"/>
        <v>0</v>
      </c>
      <c r="BW32" s="366">
        <f t="shared" si="34"/>
        <v>2033</v>
      </c>
      <c r="BX32" s="393">
        <f t="shared" si="22"/>
        <v>0</v>
      </c>
      <c r="BY32" s="369">
        <f t="shared" si="35"/>
        <v>0</v>
      </c>
      <c r="BZ32" s="403">
        <f t="shared" si="36"/>
        <v>0</v>
      </c>
      <c r="CA32" s="393">
        <f t="shared" si="37"/>
        <v>0</v>
      </c>
      <c r="CC32" s="393">
        <f t="shared" si="38"/>
        <v>0</v>
      </c>
      <c r="CD32" s="393">
        <f t="shared" si="38"/>
        <v>0</v>
      </c>
      <c r="CE32" s="393">
        <f t="shared" si="39"/>
        <v>0</v>
      </c>
      <c r="CF32" s="393"/>
      <c r="CG32" s="393">
        <f t="shared" si="45"/>
        <v>0</v>
      </c>
      <c r="DB32" s="333">
        <f>$J20</f>
        <v>7</v>
      </c>
    </row>
    <row r="33" spans="1:106">
      <c r="A33" s="187" t="s">
        <v>75</v>
      </c>
      <c r="C33" s="356">
        <f>+'Gas Input Table Summary'!$D$22</f>
        <v>0.35</v>
      </c>
      <c r="F33" s="368"/>
      <c r="G33" s="368"/>
      <c r="H33" s="368"/>
      <c r="J33" s="333">
        <f t="shared" si="23"/>
        <v>20</v>
      </c>
      <c r="L33" s="366">
        <f t="shared" si="24"/>
        <v>2034</v>
      </c>
      <c r="M33" s="386">
        <f t="shared" si="46"/>
        <v>0</v>
      </c>
      <c r="N33" s="387">
        <f t="shared" si="40"/>
        <v>4.9539999999999997</v>
      </c>
      <c r="O33" s="388">
        <f t="shared" si="0"/>
        <v>0</v>
      </c>
      <c r="P33" s="387">
        <f t="shared" si="1"/>
        <v>0</v>
      </c>
      <c r="Q33" s="389">
        <f t="shared" si="25"/>
        <v>0</v>
      </c>
      <c r="R33" s="390">
        <f t="shared" si="2"/>
        <v>0</v>
      </c>
      <c r="S33" s="372">
        <f t="shared" si="3"/>
        <v>0</v>
      </c>
      <c r="T33" s="389">
        <f t="shared" si="41"/>
        <v>172</v>
      </c>
      <c r="U33" s="391">
        <f t="shared" si="42"/>
        <v>0</v>
      </c>
      <c r="V33" s="386">
        <f t="shared" si="26"/>
        <v>0</v>
      </c>
      <c r="W33" s="392">
        <f t="shared" si="4"/>
        <v>3.47</v>
      </c>
      <c r="X33" s="393">
        <f t="shared" si="5"/>
        <v>0</v>
      </c>
      <c r="Y33" s="409">
        <v>0</v>
      </c>
      <c r="Z33" s="409">
        <v>0</v>
      </c>
      <c r="AA33" s="410">
        <f t="shared" si="6"/>
        <v>0</v>
      </c>
      <c r="AB33" s="409">
        <f t="shared" si="7"/>
        <v>0</v>
      </c>
      <c r="AE33" s="366">
        <f t="shared" si="27"/>
        <v>2034</v>
      </c>
      <c r="AF33" s="393">
        <f t="shared" si="8"/>
        <v>0</v>
      </c>
      <c r="AG33" s="368">
        <f t="shared" si="9"/>
        <v>0</v>
      </c>
      <c r="AH33" s="393">
        <f t="shared" si="43"/>
        <v>0</v>
      </c>
      <c r="AJ33" s="394">
        <f t="shared" si="28"/>
        <v>0</v>
      </c>
      <c r="AK33" s="394">
        <f t="shared" si="28"/>
        <v>0</v>
      </c>
      <c r="AL33" s="395">
        <f t="shared" si="10"/>
        <v>0</v>
      </c>
      <c r="AN33" s="396">
        <f t="shared" si="11"/>
        <v>0</v>
      </c>
      <c r="AQ33" s="366">
        <f t="shared" si="29"/>
        <v>2034</v>
      </c>
      <c r="AR33" s="409">
        <f t="shared" si="12"/>
        <v>0</v>
      </c>
      <c r="AS33" s="393">
        <f t="shared" si="13"/>
        <v>0</v>
      </c>
      <c r="AT33" s="397">
        <f t="shared" si="14"/>
        <v>4.5999999999999999E-2</v>
      </c>
      <c r="AU33" s="398">
        <f t="shared" si="47"/>
        <v>0</v>
      </c>
      <c r="AV33" s="387">
        <f t="shared" si="15"/>
        <v>0.55200000000000005</v>
      </c>
      <c r="AW33" s="393">
        <f t="shared" si="16"/>
        <v>0</v>
      </c>
      <c r="AX33" s="397"/>
      <c r="AY33" s="399"/>
      <c r="AZ33" s="409">
        <f t="shared" si="30"/>
        <v>0</v>
      </c>
      <c r="BA33" s="381"/>
      <c r="BB33" s="409">
        <v>0</v>
      </c>
      <c r="BC33" s="393">
        <v>0</v>
      </c>
      <c r="BD33" s="400">
        <f t="shared" si="31"/>
        <v>0</v>
      </c>
      <c r="BE33" s="409">
        <f t="shared" si="17"/>
        <v>0</v>
      </c>
      <c r="BH33" s="366">
        <f t="shared" si="32"/>
        <v>2034</v>
      </c>
      <c r="BI33" s="393">
        <v>0</v>
      </c>
      <c r="BJ33" s="369">
        <f t="shared" si="18"/>
        <v>0</v>
      </c>
      <c r="BK33" s="401">
        <f t="shared" si="19"/>
        <v>11.882999999999999</v>
      </c>
      <c r="BL33" s="393">
        <f t="shared" si="44"/>
        <v>0</v>
      </c>
      <c r="BM33" s="401">
        <f t="shared" si="20"/>
        <v>0.28299999999999997</v>
      </c>
      <c r="BN33" s="398">
        <f t="shared" si="48"/>
        <v>0</v>
      </c>
      <c r="BO33" s="398"/>
      <c r="BP33" s="393">
        <f t="shared" si="21"/>
        <v>0</v>
      </c>
      <c r="BR33" s="393">
        <f t="shared" si="49"/>
        <v>0</v>
      </c>
      <c r="BS33" s="393"/>
      <c r="BT33" s="393">
        <f t="shared" si="33"/>
        <v>0</v>
      </c>
      <c r="BW33" s="366">
        <f t="shared" si="34"/>
        <v>2034</v>
      </c>
      <c r="BX33" s="393">
        <f t="shared" si="22"/>
        <v>0</v>
      </c>
      <c r="BY33" s="369">
        <f t="shared" si="35"/>
        <v>0</v>
      </c>
      <c r="BZ33" s="403">
        <f t="shared" si="36"/>
        <v>0</v>
      </c>
      <c r="CA33" s="393">
        <f t="shared" si="37"/>
        <v>0</v>
      </c>
      <c r="CC33" s="393">
        <f t="shared" si="38"/>
        <v>0</v>
      </c>
      <c r="CD33" s="393">
        <f t="shared" si="38"/>
        <v>0</v>
      </c>
      <c r="CE33" s="393">
        <f t="shared" si="39"/>
        <v>0</v>
      </c>
      <c r="CF33" s="393"/>
      <c r="CG33" s="393">
        <f t="shared" si="45"/>
        <v>0</v>
      </c>
      <c r="DB33" s="333"/>
    </row>
    <row r="34" spans="1:106">
      <c r="A34" s="185" t="s">
        <v>18</v>
      </c>
      <c r="C34" s="358">
        <f>+'Gas Input Table Summary'!$D$23</f>
        <v>2.3E-2</v>
      </c>
      <c r="E34" s="187" t="s">
        <v>76</v>
      </c>
      <c r="F34" s="357">
        <f>+ROUND(F12/F30,0)</f>
        <v>100</v>
      </c>
      <c r="G34" s="357"/>
      <c r="H34" s="357"/>
      <c r="J34" s="333">
        <f t="shared" si="23"/>
        <v>21</v>
      </c>
      <c r="L34" s="366">
        <f t="shared" si="24"/>
        <v>2035</v>
      </c>
      <c r="M34" s="412">
        <f t="shared" si="46"/>
        <v>0</v>
      </c>
      <c r="N34" s="387">
        <f t="shared" si="40"/>
        <v>5.1280000000000001</v>
      </c>
      <c r="O34" s="394">
        <f t="shared" si="0"/>
        <v>0</v>
      </c>
      <c r="P34" s="413">
        <f t="shared" si="1"/>
        <v>0</v>
      </c>
      <c r="Q34" s="410">
        <f t="shared" si="25"/>
        <v>0</v>
      </c>
      <c r="R34" s="414">
        <f t="shared" si="2"/>
        <v>0</v>
      </c>
      <c r="S34" s="415">
        <f t="shared" si="3"/>
        <v>0</v>
      </c>
      <c r="T34" s="389">
        <f t="shared" si="41"/>
        <v>174</v>
      </c>
      <c r="U34" s="416">
        <f t="shared" si="42"/>
        <v>0</v>
      </c>
      <c r="V34" s="412">
        <f t="shared" si="26"/>
        <v>0</v>
      </c>
      <c r="W34" s="392">
        <f t="shared" si="4"/>
        <v>3.5920000000000001</v>
      </c>
      <c r="X34" s="409">
        <f t="shared" si="5"/>
        <v>0</v>
      </c>
      <c r="Y34" s="409">
        <v>0</v>
      </c>
      <c r="Z34" s="409">
        <v>0</v>
      </c>
      <c r="AA34" s="417">
        <f t="shared" si="6"/>
        <v>0</v>
      </c>
      <c r="AB34" s="418">
        <f t="shared" si="7"/>
        <v>0</v>
      </c>
      <c r="AE34" s="366">
        <f t="shared" si="27"/>
        <v>2035</v>
      </c>
      <c r="AF34" s="409">
        <f t="shared" si="8"/>
        <v>0</v>
      </c>
      <c r="AG34" s="419">
        <f t="shared" si="9"/>
        <v>0</v>
      </c>
      <c r="AH34" s="418">
        <f t="shared" si="43"/>
        <v>0</v>
      </c>
      <c r="AJ34" s="394">
        <f t="shared" si="28"/>
        <v>0</v>
      </c>
      <c r="AK34" s="394">
        <f t="shared" si="28"/>
        <v>0</v>
      </c>
      <c r="AL34" s="420">
        <f t="shared" si="10"/>
        <v>0</v>
      </c>
      <c r="AN34" s="421">
        <f t="shared" si="11"/>
        <v>0</v>
      </c>
      <c r="AQ34" s="366">
        <f t="shared" si="29"/>
        <v>2035</v>
      </c>
      <c r="AR34" s="409">
        <f t="shared" si="12"/>
        <v>0</v>
      </c>
      <c r="AS34" s="409">
        <f t="shared" si="13"/>
        <v>0</v>
      </c>
      <c r="AT34" s="422">
        <f t="shared" si="14"/>
        <v>4.7E-2</v>
      </c>
      <c r="AU34" s="398">
        <f t="shared" si="47"/>
        <v>0</v>
      </c>
      <c r="AV34" s="413">
        <f t="shared" si="15"/>
        <v>0.56399999999999995</v>
      </c>
      <c r="AW34" s="409">
        <f t="shared" si="16"/>
        <v>0</v>
      </c>
      <c r="AX34" s="397"/>
      <c r="AY34" s="423"/>
      <c r="AZ34" s="418">
        <f t="shared" si="30"/>
        <v>0</v>
      </c>
      <c r="BA34" s="381"/>
      <c r="BB34" s="409">
        <v>0</v>
      </c>
      <c r="BC34" s="409">
        <v>0</v>
      </c>
      <c r="BD34" s="424">
        <f t="shared" si="31"/>
        <v>0</v>
      </c>
      <c r="BE34" s="418">
        <f t="shared" si="17"/>
        <v>0</v>
      </c>
      <c r="BH34" s="366">
        <f t="shared" si="32"/>
        <v>2035</v>
      </c>
      <c r="BI34" s="409">
        <v>0</v>
      </c>
      <c r="BJ34" s="412">
        <f t="shared" si="18"/>
        <v>0</v>
      </c>
      <c r="BK34" s="401">
        <f t="shared" si="19"/>
        <v>12.298999999999999</v>
      </c>
      <c r="BL34" s="409">
        <f t="shared" si="44"/>
        <v>0</v>
      </c>
      <c r="BM34" s="401">
        <f t="shared" si="20"/>
        <v>0.29299999999999998</v>
      </c>
      <c r="BN34" s="398">
        <f t="shared" si="48"/>
        <v>0</v>
      </c>
      <c r="BO34" s="425"/>
      <c r="BP34" s="418">
        <f t="shared" si="21"/>
        <v>0</v>
      </c>
      <c r="BR34" s="418">
        <f t="shared" si="49"/>
        <v>0</v>
      </c>
      <c r="BS34" s="418"/>
      <c r="BT34" s="418">
        <f t="shared" si="33"/>
        <v>0</v>
      </c>
      <c r="BW34" s="366">
        <f t="shared" si="34"/>
        <v>2035</v>
      </c>
      <c r="BX34" s="409">
        <f t="shared" si="22"/>
        <v>0</v>
      </c>
      <c r="BY34" s="369">
        <f t="shared" si="35"/>
        <v>0</v>
      </c>
      <c r="BZ34" s="403">
        <f t="shared" si="36"/>
        <v>0</v>
      </c>
      <c r="CA34" s="418">
        <f t="shared" si="37"/>
        <v>0</v>
      </c>
      <c r="CC34" s="418">
        <f t="shared" si="38"/>
        <v>0</v>
      </c>
      <c r="CD34" s="418">
        <f t="shared" si="38"/>
        <v>0</v>
      </c>
      <c r="CE34" s="418">
        <f t="shared" si="39"/>
        <v>0</v>
      </c>
      <c r="CF34" s="418"/>
      <c r="CG34" s="418">
        <f t="shared" si="45"/>
        <v>0</v>
      </c>
      <c r="DB34" s="333"/>
    </row>
    <row r="35" spans="1:106">
      <c r="A35" s="185"/>
      <c r="C35" s="358"/>
      <c r="E35" s="185"/>
      <c r="F35" s="196"/>
      <c r="G35" s="426"/>
      <c r="H35" s="426"/>
      <c r="M35" s="337"/>
      <c r="N35" s="187"/>
      <c r="R35" s="321"/>
      <c r="T35" s="427"/>
      <c r="V35" s="428"/>
      <c r="X35" s="339"/>
      <c r="Y35" s="339"/>
      <c r="Z35" s="339"/>
      <c r="AA35" s="337"/>
      <c r="AB35" s="337"/>
      <c r="AF35" s="337"/>
      <c r="AH35" s="337"/>
      <c r="AN35" s="337"/>
      <c r="AR35" s="337"/>
      <c r="AU35" s="400"/>
      <c r="AW35" s="400"/>
      <c r="AY35" s="400"/>
      <c r="AZ35" s="400"/>
      <c r="BB35" s="339"/>
      <c r="BC35" s="386"/>
      <c r="BG35" s="336"/>
      <c r="BJ35" s="429"/>
      <c r="BP35" s="337"/>
      <c r="BT35" s="428"/>
      <c r="BV35" s="336"/>
      <c r="BY35" s="429"/>
      <c r="CA35" s="337"/>
      <c r="CG35" s="428"/>
      <c r="DB35" s="333">
        <f>$J21</f>
        <v>8</v>
      </c>
    </row>
    <row r="36" spans="1:106">
      <c r="A36" s="185" t="s">
        <v>77</v>
      </c>
      <c r="C36" s="356">
        <f>+'Gas Input Table Summary'!$D$24</f>
        <v>0</v>
      </c>
      <c r="E36" s="430" t="s">
        <v>91</v>
      </c>
      <c r="F36" s="431"/>
      <c r="H36" s="432">
        <f>+'Gas Input Table Summary'!D58</f>
        <v>1.744</v>
      </c>
      <c r="J36" s="321"/>
      <c r="K36" s="187" t="s">
        <v>211</v>
      </c>
      <c r="M36" s="369">
        <f>SUM(M14:M34)</f>
        <v>180</v>
      </c>
      <c r="N36" s="187"/>
      <c r="R36" s="321"/>
      <c r="S36" s="374"/>
      <c r="T36" s="427"/>
      <c r="V36" s="374">
        <f>SUM(V14:V34)</f>
        <v>840</v>
      </c>
      <c r="X36" s="357"/>
      <c r="Y36" s="357"/>
      <c r="Z36" s="357"/>
      <c r="AA36" s="357">
        <f>SUM(AA14:AA34)</f>
        <v>677</v>
      </c>
      <c r="AB36" s="357">
        <f>SUM(AB14:AB34)</f>
        <v>163</v>
      </c>
      <c r="AD36" s="185" t="s">
        <v>78</v>
      </c>
      <c r="AE36" s="369"/>
      <c r="AF36" s="357"/>
      <c r="AG36" s="357"/>
      <c r="AH36" s="357">
        <f>SUM(AH14:AH34)</f>
        <v>840</v>
      </c>
      <c r="AL36" s="357">
        <f>SUM(AL14:AL34)</f>
        <v>429</v>
      </c>
      <c r="AN36" s="357">
        <f>SUM(AN14:AN34)</f>
        <v>411</v>
      </c>
      <c r="AP36" s="185" t="s">
        <v>78</v>
      </c>
      <c r="AQ36" s="369"/>
      <c r="AR36" s="357"/>
      <c r="AS36" s="357"/>
      <c r="AU36" s="393"/>
      <c r="AW36" s="393"/>
      <c r="AY36" s="393"/>
      <c r="AZ36" s="433">
        <f>SUM(AZ14:AZ34)</f>
        <v>912</v>
      </c>
      <c r="BB36" s="357"/>
      <c r="BC36" s="357"/>
      <c r="BD36" s="357">
        <f>SUM(BD14:BD34)</f>
        <v>429</v>
      </c>
      <c r="BE36" s="357">
        <f>SUM(BE14:BE34)</f>
        <v>483</v>
      </c>
      <c r="BG36" s="434" t="s">
        <v>211</v>
      </c>
      <c r="BI36" s="357"/>
      <c r="BJ36" s="369">
        <f>SUM(BJ14:BJ34)</f>
        <v>180</v>
      </c>
      <c r="BK36" s="427"/>
      <c r="BL36" s="357"/>
      <c r="BN36" s="357"/>
      <c r="BO36" s="357"/>
      <c r="BP36" s="357">
        <f>SUM(BP14:BP34)</f>
        <v>1706</v>
      </c>
      <c r="BR36" s="357">
        <f>SUM(BR14:BR34)</f>
        <v>400</v>
      </c>
      <c r="BS36" s="357"/>
      <c r="BT36" s="357">
        <f>SUM(BT14:BT34)</f>
        <v>1306</v>
      </c>
      <c r="BX36" s="357"/>
      <c r="BY36" s="369"/>
      <c r="BZ36" s="434" t="s">
        <v>211</v>
      </c>
      <c r="CA36" s="357">
        <f>SUM(CA14:CA34)</f>
        <v>840</v>
      </c>
      <c r="CC36" s="357"/>
      <c r="CD36" s="357"/>
      <c r="CE36" s="357">
        <f>SUM(CE14:CE34)</f>
        <v>429</v>
      </c>
      <c r="CF36" s="357"/>
      <c r="CG36" s="357">
        <f>SUM(CG14:CG34)</f>
        <v>411</v>
      </c>
      <c r="DB36" s="333"/>
    </row>
    <row r="37" spans="1:106">
      <c r="A37" s="187" t="s">
        <v>47</v>
      </c>
      <c r="C37" s="358">
        <f>+'Gas Input Table Summary'!$D$25</f>
        <v>0</v>
      </c>
      <c r="E37" s="274"/>
      <c r="F37" s="435"/>
      <c r="H37" s="274"/>
      <c r="M37" s="369"/>
      <c r="N37" s="187"/>
      <c r="R37" s="321"/>
      <c r="S37" s="436"/>
      <c r="T37" s="337" t="s">
        <v>80</v>
      </c>
      <c r="V37" s="436">
        <f>ROUND(V14+NPV($C$41,V15:V34),0)</f>
        <v>608</v>
      </c>
      <c r="X37" s="357"/>
      <c r="Y37" s="357"/>
      <c r="Z37" s="357"/>
      <c r="AA37" s="357">
        <f>ROUND(AA14+NPV($C$41,AA15:AA34),0)</f>
        <v>608</v>
      </c>
      <c r="AB37" s="357">
        <f>ROUND(AB14+NPV($C$41,AB15:AB34),0)</f>
        <v>1</v>
      </c>
      <c r="AF37" s="357"/>
      <c r="AG37" s="185" t="s">
        <v>80</v>
      </c>
      <c r="AH37" s="357">
        <f>ROUND(AH14+NPV($C$41,AH15:AH34),0)</f>
        <v>608</v>
      </c>
      <c r="AL37" s="357">
        <f>ROUND(AL14+NPV($C$41,AL15:AL34),0)</f>
        <v>429</v>
      </c>
      <c r="AN37" s="357">
        <f>+AH37-AL37</f>
        <v>179</v>
      </c>
      <c r="AR37" s="357"/>
      <c r="AS37" s="357"/>
      <c r="AU37" s="393"/>
      <c r="AW37" s="185" t="s">
        <v>80</v>
      </c>
      <c r="AY37" s="393"/>
      <c r="AZ37" s="357">
        <f>ROUND(AZ14+NPV($C$43,AZ15:AZ34),0)</f>
        <v>777</v>
      </c>
      <c r="BB37" s="357"/>
      <c r="BC37" s="357"/>
      <c r="BD37" s="357">
        <f>ROUND(BD14+NPV($C$43,BD15:BD34),0)</f>
        <v>429</v>
      </c>
      <c r="BE37" s="357">
        <f>AZ37-BD37</f>
        <v>348</v>
      </c>
      <c r="BG37" s="336"/>
      <c r="BI37" s="357"/>
      <c r="BL37" s="357"/>
      <c r="BN37" s="357" t="s">
        <v>203</v>
      </c>
      <c r="BO37" s="357"/>
      <c r="BP37" s="357">
        <f>ROUND(BP14+NPV($C$39,BP15:BP34),0)</f>
        <v>1259</v>
      </c>
      <c r="BR37" s="357">
        <f>ROUND(BR14+NPV($C$39,BR15:BR34),0)</f>
        <v>400</v>
      </c>
      <c r="BS37" s="357"/>
      <c r="BT37" s="369">
        <f>ROUND(BT14+NPV($C$39,BT15:BT34),0)</f>
        <v>859</v>
      </c>
      <c r="BV37" s="336"/>
      <c r="BX37" s="357"/>
      <c r="BZ37" s="357" t="s">
        <v>203</v>
      </c>
      <c r="CA37" s="357">
        <f>ROUND(CA14+NPV($C$41,CA15:CA34),0)</f>
        <v>608</v>
      </c>
      <c r="CC37" s="357"/>
      <c r="CD37" s="357"/>
      <c r="CE37" s="357">
        <f>ROUND(CE14+NPV($C$41,CE15:CE34),0)</f>
        <v>429</v>
      </c>
      <c r="CF37" s="357"/>
      <c r="CG37" s="369">
        <f>ROUND(CG14+NPV($C$41,CG15:CG34),0)</f>
        <v>179</v>
      </c>
      <c r="DB37" s="333">
        <f>$J22</f>
        <v>9</v>
      </c>
    </row>
    <row r="38" spans="1:106">
      <c r="C38" s="358"/>
      <c r="E38" s="437" t="s">
        <v>98</v>
      </c>
      <c r="F38" s="274"/>
      <c r="H38" s="438">
        <f>+'Gas Input Table Summary'!D59</f>
        <v>0.35</v>
      </c>
      <c r="M38" s="369"/>
      <c r="N38" s="187"/>
      <c r="R38" s="321"/>
      <c r="T38" s="427"/>
      <c r="V38" s="386"/>
      <c r="X38" s="185" t="s">
        <v>81</v>
      </c>
      <c r="Z38" s="369"/>
      <c r="AA38" s="369"/>
      <c r="AB38" s="386"/>
      <c r="AF38" s="369"/>
      <c r="AH38" s="369"/>
      <c r="AI38" s="369"/>
      <c r="AR38" s="369"/>
      <c r="AY38" s="369"/>
      <c r="AZ38" s="369"/>
      <c r="BA38" s="369"/>
      <c r="BB38" s="369"/>
      <c r="BC38" s="369"/>
      <c r="BD38" s="369"/>
      <c r="BE38" s="369"/>
      <c r="BF38" s="369"/>
      <c r="BG38" s="336"/>
      <c r="BI38" s="357"/>
      <c r="BP38" s="369"/>
      <c r="BS38" s="369"/>
      <c r="BU38" s="369"/>
      <c r="BV38" s="336"/>
      <c r="BX38" s="357"/>
      <c r="CA38" s="369"/>
      <c r="CF38" s="369"/>
      <c r="DB38" s="333"/>
    </row>
    <row r="39" spans="1:106">
      <c r="A39" s="185" t="s">
        <v>79</v>
      </c>
      <c r="C39" s="361">
        <f>+'Gas Input Table Summary'!$D$26</f>
        <v>0.1</v>
      </c>
      <c r="E39" s="183" t="s">
        <v>225</v>
      </c>
      <c r="K39" s="185" t="s">
        <v>83</v>
      </c>
      <c r="M39" s="369"/>
      <c r="N39" s="357">
        <f>AB37</f>
        <v>1</v>
      </c>
      <c r="Q39" s="357"/>
      <c r="R39" s="321"/>
      <c r="T39" s="427"/>
      <c r="U39" s="427"/>
      <c r="V39" s="369"/>
      <c r="X39" s="185" t="s">
        <v>81</v>
      </c>
      <c r="Z39" s="369"/>
      <c r="AA39" s="369"/>
      <c r="AB39" s="386"/>
      <c r="AD39" s="185" t="s">
        <v>83</v>
      </c>
      <c r="AF39" s="369"/>
      <c r="AG39" s="357">
        <f>AN37</f>
        <v>179</v>
      </c>
      <c r="AH39" s="357"/>
      <c r="AI39" s="369"/>
      <c r="AM39" s="369"/>
      <c r="AP39" s="185" t="s">
        <v>83</v>
      </c>
      <c r="AR39" s="369"/>
      <c r="AS39" s="357">
        <f>BE37</f>
        <v>348</v>
      </c>
      <c r="AU39" s="357"/>
      <c r="AW39" s="357"/>
      <c r="AY39" s="369"/>
      <c r="AZ39" s="369"/>
      <c r="BA39" s="439"/>
      <c r="BB39" s="369"/>
      <c r="BC39" s="369"/>
      <c r="BD39" s="369"/>
      <c r="BF39" s="369"/>
      <c r="BG39" s="185" t="s">
        <v>83</v>
      </c>
      <c r="BJ39" s="357">
        <f>BT37</f>
        <v>859</v>
      </c>
      <c r="BK39" s="357"/>
      <c r="BP39" s="369"/>
      <c r="BS39" s="369"/>
      <c r="BT39" s="369"/>
      <c r="BU39" s="369"/>
      <c r="BV39" s="185" t="s">
        <v>83</v>
      </c>
      <c r="BY39" s="357">
        <f>CG37</f>
        <v>179</v>
      </c>
      <c r="BZ39" s="357"/>
      <c r="CA39" s="369"/>
      <c r="CF39" s="369"/>
      <c r="CG39" s="369"/>
      <c r="DB39" s="333"/>
    </row>
    <row r="40" spans="1:106" ht="13.8" thickBot="1">
      <c r="A40" s="185"/>
      <c r="C40" s="361"/>
      <c r="F40" s="368"/>
      <c r="K40" s="185" t="s">
        <v>84</v>
      </c>
      <c r="N40" s="440">
        <f>ROUND(V37/AA37,2)</f>
        <v>1</v>
      </c>
      <c r="Q40" s="427"/>
      <c r="R40" s="321"/>
      <c r="AB40" s="386"/>
      <c r="AD40" s="185" t="s">
        <v>84</v>
      </c>
      <c r="AF40" s="427"/>
      <c r="AG40" s="441">
        <f>ROUND(AH37/AL37,2)</f>
        <v>1.42</v>
      </c>
      <c r="AH40" s="427"/>
      <c r="AP40" s="185" t="s">
        <v>84</v>
      </c>
      <c r="AR40" s="427"/>
      <c r="AS40" s="441">
        <f>ROUND(AZ37/BD37,2)</f>
        <v>1.81</v>
      </c>
      <c r="AU40" s="427"/>
      <c r="AW40" s="427"/>
      <c r="AZ40" s="187"/>
      <c r="BD40" s="369"/>
      <c r="BG40" s="185" t="s">
        <v>84</v>
      </c>
      <c r="BJ40" s="441">
        <f>ROUND(BP37/BR37,20)</f>
        <v>3.1475</v>
      </c>
      <c r="BK40" s="427"/>
      <c r="BV40" s="185" t="s">
        <v>84</v>
      </c>
      <c r="BY40" s="441">
        <f>ROUND(CA37/CE37,2)</f>
        <v>1.42</v>
      </c>
      <c r="BZ40" s="427"/>
      <c r="DB40" s="333">
        <f>$J23</f>
        <v>10</v>
      </c>
    </row>
    <row r="41" spans="1:106" ht="13.8" thickTop="1">
      <c r="A41" s="185" t="s">
        <v>82</v>
      </c>
      <c r="C41" s="361">
        <f>+'Gas Input Table Summary'!$D$27</f>
        <v>7.5999999999999998E-2</v>
      </c>
      <c r="E41" s="59" t="s">
        <v>88</v>
      </c>
      <c r="F41" s="60" t="s">
        <v>89</v>
      </c>
      <c r="G41" s="61" t="s">
        <v>90</v>
      </c>
      <c r="J41" s="355"/>
      <c r="K41" s="442"/>
      <c r="L41" s="355"/>
      <c r="M41" s="355"/>
      <c r="N41" s="355"/>
      <c r="O41" s="355"/>
      <c r="Q41" s="355"/>
      <c r="R41" s="443"/>
      <c r="S41" s="355"/>
      <c r="T41" s="355"/>
      <c r="U41" s="355"/>
      <c r="V41" s="355"/>
      <c r="W41" s="355"/>
      <c r="X41" s="355"/>
      <c r="AB41" s="386"/>
      <c r="AD41" s="185"/>
      <c r="AM41" s="444"/>
      <c r="AN41" s="185"/>
      <c r="AP41" s="185"/>
      <c r="AZ41" s="187"/>
      <c r="BB41" s="444"/>
      <c r="BE41" s="185"/>
      <c r="BG41" s="336"/>
      <c r="BV41" s="336"/>
      <c r="DB41" s="333">
        <f>$J24</f>
        <v>11</v>
      </c>
    </row>
    <row r="42" spans="1:106">
      <c r="E42" s="445" t="s">
        <v>5</v>
      </c>
      <c r="F42" s="446">
        <f>N39</f>
        <v>1</v>
      </c>
      <c r="G42" s="447">
        <f>N40</f>
        <v>1</v>
      </c>
      <c r="J42" s="75"/>
      <c r="K42" s="75"/>
      <c r="L42" s="448"/>
      <c r="M42" s="448"/>
      <c r="N42" s="448"/>
      <c r="O42" s="448"/>
      <c r="Q42" s="448"/>
      <c r="R42" s="448"/>
      <c r="S42" s="448"/>
      <c r="T42" s="448"/>
      <c r="U42" s="448"/>
      <c r="V42" s="448"/>
      <c r="W42" s="448"/>
      <c r="X42" s="448"/>
      <c r="AB42" s="386"/>
      <c r="AZ42" s="187"/>
      <c r="BD42" s="336"/>
      <c r="DB42" s="333">
        <f>$J25</f>
        <v>12</v>
      </c>
    </row>
    <row r="43" spans="1:106">
      <c r="A43" s="187" t="s">
        <v>85</v>
      </c>
      <c r="C43" s="361">
        <f>+'Gas Input Table Summary'!$D$28</f>
        <v>3.56E-2</v>
      </c>
      <c r="E43" s="449" t="s">
        <v>6</v>
      </c>
      <c r="F43" s="374">
        <f>AG39</f>
        <v>179</v>
      </c>
      <c r="G43" s="450">
        <f>AG40</f>
        <v>1.42</v>
      </c>
      <c r="J43" s="76" t="s">
        <v>124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8"/>
      <c r="AB43" s="386"/>
      <c r="AD43" s="76" t="s">
        <v>124</v>
      </c>
      <c r="AE43" s="77"/>
      <c r="AF43" s="451"/>
      <c r="AG43" s="451"/>
      <c r="AH43" s="452"/>
      <c r="AI43" s="452"/>
      <c r="AJ43" s="452"/>
      <c r="AK43" s="452"/>
      <c r="AN43" s="185"/>
      <c r="AP43" s="76" t="s">
        <v>124</v>
      </c>
      <c r="AQ43" s="77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2"/>
      <c r="BG43" s="76" t="s">
        <v>124</v>
      </c>
      <c r="BH43" s="77"/>
      <c r="BI43" s="451"/>
      <c r="BJ43" s="451"/>
      <c r="BK43" s="452"/>
      <c r="BL43" s="452"/>
      <c r="BM43" s="452"/>
      <c r="BN43" s="452"/>
      <c r="BO43" s="448"/>
      <c r="BP43" s="448" t="s">
        <v>81</v>
      </c>
      <c r="BQ43" s="448"/>
      <c r="BR43" s="448"/>
      <c r="BV43" s="76" t="s">
        <v>124</v>
      </c>
      <c r="BW43" s="77"/>
      <c r="BX43" s="451"/>
      <c r="BY43" s="451"/>
      <c r="BZ43" s="452"/>
      <c r="CA43" s="448" t="s">
        <v>81</v>
      </c>
      <c r="CB43" s="448"/>
      <c r="CC43" s="448"/>
      <c r="CD43" s="448"/>
      <c r="CE43" s="448"/>
      <c r="CI43" s="381"/>
      <c r="DB43" s="333">
        <f>$J26</f>
        <v>13</v>
      </c>
    </row>
    <row r="44" spans="1:106">
      <c r="E44" s="453" t="s">
        <v>7</v>
      </c>
      <c r="F44" s="374">
        <f>AS39</f>
        <v>348</v>
      </c>
      <c r="G44" s="450">
        <f>AS40</f>
        <v>1.81</v>
      </c>
      <c r="J44" s="454" t="s">
        <v>48</v>
      </c>
      <c r="K44" s="171" t="s">
        <v>121</v>
      </c>
      <c r="L44" s="455"/>
      <c r="M44" s="455"/>
      <c r="N44" s="455"/>
      <c r="O44" s="455"/>
      <c r="P44" s="455"/>
      <c r="Q44" s="455"/>
      <c r="R44" s="455"/>
      <c r="S44" s="455"/>
      <c r="T44" s="456" t="s">
        <v>56</v>
      </c>
      <c r="U44" s="171" t="s">
        <v>142</v>
      </c>
      <c r="V44" s="455"/>
      <c r="W44" s="455"/>
      <c r="X44" s="457"/>
      <c r="AB44" s="337"/>
      <c r="AD44" s="454" t="s">
        <v>48</v>
      </c>
      <c r="AE44" s="171" t="s">
        <v>162</v>
      </c>
      <c r="AF44" s="455"/>
      <c r="AG44" s="455"/>
      <c r="AH44" s="455"/>
      <c r="AI44" s="455"/>
      <c r="AJ44" s="455"/>
      <c r="AK44" s="457"/>
      <c r="AN44" s="185"/>
      <c r="AP44" s="458" t="s">
        <v>48</v>
      </c>
      <c r="AQ44" s="171" t="s">
        <v>162</v>
      </c>
      <c r="AR44" s="455"/>
      <c r="AS44" s="455"/>
      <c r="AU44" s="455"/>
      <c r="AW44" s="459" t="s">
        <v>55</v>
      </c>
      <c r="AZ44" s="363" t="s">
        <v>152</v>
      </c>
      <c r="BA44" s="339"/>
      <c r="BC44" s="339"/>
      <c r="BD44" s="455"/>
      <c r="BE44" s="457"/>
      <c r="BG44" s="460" t="s">
        <v>48</v>
      </c>
      <c r="BH44" s="171" t="s">
        <v>156</v>
      </c>
      <c r="BI44" s="455"/>
      <c r="BJ44" s="455"/>
      <c r="BK44" s="455"/>
      <c r="BL44" s="455"/>
      <c r="BM44" s="455"/>
      <c r="BN44" s="457"/>
      <c r="BV44" s="460" t="s">
        <v>48</v>
      </c>
      <c r="BW44" s="171" t="s">
        <v>162</v>
      </c>
      <c r="BX44" s="455"/>
      <c r="BY44" s="455"/>
      <c r="BZ44" s="457"/>
      <c r="CI44" s="381"/>
      <c r="DB44" s="333"/>
    </row>
    <row r="45" spans="1:106">
      <c r="A45" s="185" t="s">
        <v>86</v>
      </c>
      <c r="C45" s="461">
        <f>+'Res .95+% Res Furnace - NEW'!C45</f>
        <v>2014</v>
      </c>
      <c r="E45" s="449" t="s">
        <v>8</v>
      </c>
      <c r="F45" s="374">
        <f>BJ39</f>
        <v>859</v>
      </c>
      <c r="G45" s="450">
        <f>BJ40</f>
        <v>3.1475</v>
      </c>
      <c r="J45" s="462" t="s">
        <v>49</v>
      </c>
      <c r="K45" s="172" t="s">
        <v>139</v>
      </c>
      <c r="L45" s="339"/>
      <c r="M45" s="339"/>
      <c r="N45" s="339"/>
      <c r="O45" s="339"/>
      <c r="P45" s="339"/>
      <c r="Q45" s="339"/>
      <c r="R45" s="339"/>
      <c r="S45" s="339"/>
      <c r="T45" s="459" t="s">
        <v>57</v>
      </c>
      <c r="U45" s="172" t="s">
        <v>143</v>
      </c>
      <c r="V45" s="339"/>
      <c r="W45" s="339"/>
      <c r="X45" s="463"/>
      <c r="AB45" s="357"/>
      <c r="AD45" s="462" t="s">
        <v>49</v>
      </c>
      <c r="AE45" s="464" t="s">
        <v>163</v>
      </c>
      <c r="AF45" s="339"/>
      <c r="AG45" s="339"/>
      <c r="AH45" s="339"/>
      <c r="AI45" s="339"/>
      <c r="AJ45" s="339"/>
      <c r="AK45" s="463"/>
      <c r="AP45" s="465" t="s">
        <v>54</v>
      </c>
      <c r="AQ45" s="172" t="s">
        <v>163</v>
      </c>
      <c r="AR45" s="339"/>
      <c r="AS45" s="339"/>
      <c r="AU45" s="339"/>
      <c r="AW45" s="459" t="s">
        <v>56</v>
      </c>
      <c r="AZ45" s="464" t="s">
        <v>153</v>
      </c>
      <c r="BA45" s="339"/>
      <c r="BC45" s="339"/>
      <c r="BD45" s="339"/>
      <c r="BE45" s="463"/>
      <c r="BG45" s="466" t="s">
        <v>49</v>
      </c>
      <c r="BH45" s="172" t="s">
        <v>125</v>
      </c>
      <c r="BI45" s="339"/>
      <c r="BJ45" s="339"/>
      <c r="BK45" s="339"/>
      <c r="BL45" s="339"/>
      <c r="BM45" s="339"/>
      <c r="BN45" s="463"/>
      <c r="BV45" s="466" t="s">
        <v>49</v>
      </c>
      <c r="BW45" s="172" t="s">
        <v>163</v>
      </c>
      <c r="BX45" s="339"/>
      <c r="BY45" s="339"/>
      <c r="BZ45" s="463"/>
      <c r="CI45" s="381"/>
      <c r="DB45" s="333"/>
    </row>
    <row r="46" spans="1:106">
      <c r="C46" s="336"/>
      <c r="E46" s="180" t="s">
        <v>216</v>
      </c>
      <c r="F46" s="467">
        <f>BY39</f>
        <v>179</v>
      </c>
      <c r="G46" s="468">
        <f>BY40</f>
        <v>1.42</v>
      </c>
      <c r="J46" s="462" t="s">
        <v>50</v>
      </c>
      <c r="K46" s="464" t="s">
        <v>120</v>
      </c>
      <c r="L46" s="339"/>
      <c r="M46" s="339"/>
      <c r="N46" s="339"/>
      <c r="O46" s="339"/>
      <c r="P46" s="339"/>
      <c r="Q46" s="339"/>
      <c r="R46" s="339"/>
      <c r="S46" s="339"/>
      <c r="T46" s="459" t="s">
        <v>58</v>
      </c>
      <c r="U46" s="172" t="s">
        <v>159</v>
      </c>
      <c r="V46" s="339"/>
      <c r="W46" s="339"/>
      <c r="X46" s="463"/>
      <c r="AB46" s="369"/>
      <c r="AD46" s="462" t="s">
        <v>50</v>
      </c>
      <c r="AE46" s="464" t="s">
        <v>164</v>
      </c>
      <c r="AF46" s="339"/>
      <c r="AG46" s="339"/>
      <c r="AH46" s="339"/>
      <c r="AI46" s="339"/>
      <c r="AJ46" s="339"/>
      <c r="AK46" s="463"/>
      <c r="AP46" s="465" t="s">
        <v>50</v>
      </c>
      <c r="AQ46" s="173" t="s">
        <v>199</v>
      </c>
      <c r="AR46" s="355"/>
      <c r="AS46" s="355"/>
      <c r="AU46" s="355"/>
      <c r="AW46" s="459" t="s">
        <v>57</v>
      </c>
      <c r="AZ46" s="464" t="s">
        <v>154</v>
      </c>
      <c r="BA46" s="339"/>
      <c r="BC46" s="339"/>
      <c r="BD46" s="339"/>
      <c r="BE46" s="463"/>
      <c r="BG46" s="466" t="s">
        <v>50</v>
      </c>
      <c r="BH46" s="174" t="s">
        <v>129</v>
      </c>
      <c r="BI46" s="355"/>
      <c r="BJ46" s="355"/>
      <c r="BK46" s="339"/>
      <c r="BL46" s="355"/>
      <c r="BM46" s="459"/>
      <c r="BN46" s="469"/>
      <c r="BV46" s="466" t="s">
        <v>50</v>
      </c>
      <c r="BW46" s="172" t="s">
        <v>218</v>
      </c>
      <c r="BX46" s="355"/>
      <c r="BY46" s="355"/>
      <c r="BZ46" s="463"/>
      <c r="CI46" s="381"/>
      <c r="DB46" s="333"/>
    </row>
    <row r="47" spans="1:106">
      <c r="A47" s="185" t="s">
        <v>87</v>
      </c>
      <c r="C47" s="461">
        <f>+'Res .95+% Res Furnace - NEW'!C47</f>
        <v>2015</v>
      </c>
      <c r="J47" s="462" t="s">
        <v>51</v>
      </c>
      <c r="K47" s="172" t="s">
        <v>138</v>
      </c>
      <c r="L47" s="339"/>
      <c r="M47" s="339"/>
      <c r="N47" s="339"/>
      <c r="O47" s="339"/>
      <c r="P47" s="339"/>
      <c r="Q47" s="339"/>
      <c r="R47" s="339"/>
      <c r="S47" s="339"/>
      <c r="T47" s="459" t="s">
        <v>59</v>
      </c>
      <c r="U47" s="404" t="s">
        <v>160</v>
      </c>
      <c r="V47" s="339"/>
      <c r="W47" s="339"/>
      <c r="X47" s="463"/>
      <c r="AB47" s="369"/>
      <c r="AD47" s="462" t="s">
        <v>51</v>
      </c>
      <c r="AE47" s="172" t="s">
        <v>126</v>
      </c>
      <c r="AF47" s="339"/>
      <c r="AG47" s="339"/>
      <c r="AH47" s="339"/>
      <c r="AI47" s="339"/>
      <c r="AJ47" s="339"/>
      <c r="AK47" s="463"/>
      <c r="AO47" s="185"/>
      <c r="AP47" s="465" t="s">
        <v>51</v>
      </c>
      <c r="AQ47" s="173" t="s">
        <v>151</v>
      </c>
      <c r="AR47" s="355"/>
      <c r="AS47" s="355"/>
      <c r="AU47" s="355"/>
      <c r="AW47" s="459" t="s">
        <v>58</v>
      </c>
      <c r="AZ47" s="464" t="s">
        <v>155</v>
      </c>
      <c r="BA47" s="339"/>
      <c r="BC47" s="339"/>
      <c r="BD47" s="339"/>
      <c r="BE47" s="463"/>
      <c r="BG47" s="466" t="s">
        <v>51</v>
      </c>
      <c r="BH47" s="173" t="s">
        <v>130</v>
      </c>
      <c r="BI47" s="355"/>
      <c r="BJ47" s="355"/>
      <c r="BK47" s="339"/>
      <c r="BL47" s="355"/>
      <c r="BM47" s="459"/>
      <c r="BN47" s="469"/>
      <c r="BO47" s="339"/>
      <c r="BP47" s="339"/>
      <c r="BQ47" s="339"/>
      <c r="BR47" s="339"/>
      <c r="BV47" s="466" t="s">
        <v>51</v>
      </c>
      <c r="BW47" s="172" t="s">
        <v>127</v>
      </c>
      <c r="BX47" s="355"/>
      <c r="BY47" s="355"/>
      <c r="BZ47" s="463"/>
      <c r="CA47" s="339"/>
      <c r="CB47" s="339"/>
      <c r="CC47" s="339"/>
      <c r="CD47" s="339"/>
      <c r="CE47" s="339"/>
      <c r="CI47" s="381"/>
      <c r="DB47" s="333"/>
    </row>
    <row r="48" spans="1:106">
      <c r="A48" s="185"/>
      <c r="C48" s="366"/>
      <c r="J48" s="462" t="s">
        <v>52</v>
      </c>
      <c r="K48" s="464" t="s">
        <v>140</v>
      </c>
      <c r="L48" s="339"/>
      <c r="M48" s="339"/>
      <c r="N48" s="339"/>
      <c r="O48" s="348"/>
      <c r="P48" s="339"/>
      <c r="Q48" s="339"/>
      <c r="R48" s="339"/>
      <c r="S48" s="339"/>
      <c r="T48" s="459" t="s">
        <v>60</v>
      </c>
      <c r="U48" s="172" t="s">
        <v>146</v>
      </c>
      <c r="V48" s="339"/>
      <c r="W48" s="339"/>
      <c r="X48" s="463"/>
      <c r="AD48" s="462" t="s">
        <v>52</v>
      </c>
      <c r="AE48" s="172" t="s">
        <v>156</v>
      </c>
      <c r="AF48" s="339"/>
      <c r="AG48" s="339"/>
      <c r="AH48" s="339"/>
      <c r="AI48" s="339"/>
      <c r="AJ48" s="339"/>
      <c r="AK48" s="463"/>
      <c r="AP48" s="465" t="s">
        <v>52</v>
      </c>
      <c r="AQ48" s="173" t="s">
        <v>134</v>
      </c>
      <c r="AR48" s="355"/>
      <c r="AS48" s="355"/>
      <c r="AU48" s="355"/>
      <c r="AW48" s="459"/>
      <c r="AZ48" s="187"/>
      <c r="BA48" s="339"/>
      <c r="BC48" s="339"/>
      <c r="BD48" s="339"/>
      <c r="BE48" s="463"/>
      <c r="BG48" s="466" t="s">
        <v>52</v>
      </c>
      <c r="BH48" s="173" t="s">
        <v>165</v>
      </c>
      <c r="BI48" s="355"/>
      <c r="BJ48" s="355"/>
      <c r="BK48" s="339"/>
      <c r="BL48" s="355"/>
      <c r="BM48" s="355"/>
      <c r="BN48" s="463"/>
      <c r="BO48" s="339"/>
      <c r="BP48" s="339"/>
      <c r="BQ48" s="339"/>
      <c r="BR48" s="339"/>
      <c r="BV48" s="466" t="s">
        <v>52</v>
      </c>
      <c r="BW48" s="172" t="s">
        <v>222</v>
      </c>
      <c r="BX48" s="355"/>
      <c r="BY48" s="355"/>
      <c r="BZ48" s="463"/>
      <c r="CA48" s="339"/>
      <c r="CB48" s="339"/>
      <c r="CC48" s="339"/>
      <c r="CD48" s="339"/>
      <c r="CE48" s="339"/>
      <c r="CI48" s="381"/>
      <c r="DB48" s="333"/>
    </row>
    <row r="49" spans="1:108">
      <c r="A49" s="185"/>
      <c r="C49" s="336"/>
      <c r="J49" s="462" t="s">
        <v>53</v>
      </c>
      <c r="K49" s="172" t="s">
        <v>141</v>
      </c>
      <c r="L49" s="339"/>
      <c r="M49" s="339"/>
      <c r="N49" s="339"/>
      <c r="O49" s="339"/>
      <c r="P49" s="339"/>
      <c r="Q49" s="339"/>
      <c r="R49" s="339"/>
      <c r="S49" s="339"/>
      <c r="T49" s="459" t="s">
        <v>61</v>
      </c>
      <c r="U49" s="464" t="s">
        <v>128</v>
      </c>
      <c r="V49" s="339"/>
      <c r="W49" s="339"/>
      <c r="X49" s="463"/>
      <c r="AD49" s="462" t="s">
        <v>53</v>
      </c>
      <c r="AE49" s="464" t="s">
        <v>148</v>
      </c>
      <c r="AF49" s="339"/>
      <c r="AG49" s="339"/>
      <c r="AH49" s="339"/>
      <c r="AI49" s="339"/>
      <c r="AJ49" s="339"/>
      <c r="AK49" s="463"/>
      <c r="AP49" s="465" t="s">
        <v>53</v>
      </c>
      <c r="AQ49" s="172" t="s">
        <v>135</v>
      </c>
      <c r="AR49" s="339"/>
      <c r="AS49" s="339"/>
      <c r="AU49" s="339"/>
      <c r="AW49" s="459"/>
      <c r="AZ49" s="187"/>
      <c r="BA49" s="339"/>
      <c r="BC49" s="339"/>
      <c r="BD49" s="339"/>
      <c r="BE49" s="463"/>
      <c r="BG49" s="466" t="s">
        <v>53</v>
      </c>
      <c r="BH49" s="173" t="s">
        <v>365</v>
      </c>
      <c r="BI49" s="355"/>
      <c r="BJ49" s="355"/>
      <c r="BK49" s="339"/>
      <c r="BL49" s="355"/>
      <c r="BM49" s="459"/>
      <c r="BN49" s="463"/>
      <c r="BO49" s="339"/>
      <c r="BP49" s="339"/>
      <c r="BQ49" s="339"/>
      <c r="BR49" s="339"/>
      <c r="BV49" s="466" t="s">
        <v>53</v>
      </c>
      <c r="BW49" s="172" t="s">
        <v>223</v>
      </c>
      <c r="BX49" s="355"/>
      <c r="BY49" s="355"/>
      <c r="BZ49" s="463"/>
      <c r="CA49" s="339"/>
      <c r="CB49" s="339"/>
      <c r="CC49" s="339"/>
      <c r="CD49" s="339"/>
      <c r="CE49" s="339"/>
      <c r="DB49" s="333">
        <f>$J27</f>
        <v>14</v>
      </c>
    </row>
    <row r="50" spans="1:108">
      <c r="J50" s="462" t="s">
        <v>54</v>
      </c>
      <c r="K50" s="172" t="s">
        <v>122</v>
      </c>
      <c r="L50" s="339"/>
      <c r="M50" s="339"/>
      <c r="N50" s="339"/>
      <c r="O50" s="339"/>
      <c r="P50" s="339"/>
      <c r="Q50" s="339"/>
      <c r="R50" s="339"/>
      <c r="S50" s="339"/>
      <c r="T50" s="459" t="s">
        <v>137</v>
      </c>
      <c r="U50" s="464" t="s">
        <v>161</v>
      </c>
      <c r="V50" s="339"/>
      <c r="W50" s="339"/>
      <c r="X50" s="463"/>
      <c r="AD50" s="180" t="s">
        <v>54</v>
      </c>
      <c r="AE50" s="470" t="s">
        <v>149</v>
      </c>
      <c r="AF50" s="346"/>
      <c r="AG50" s="346"/>
      <c r="AH50" s="346"/>
      <c r="AI50" s="346"/>
      <c r="AJ50" s="346"/>
      <c r="AK50" s="471"/>
      <c r="AP50" s="472" t="s">
        <v>54</v>
      </c>
      <c r="AQ50" s="473" t="s">
        <v>150</v>
      </c>
      <c r="AR50" s="346"/>
      <c r="AS50" s="346"/>
      <c r="AT50" s="346"/>
      <c r="AU50" s="346"/>
      <c r="AV50" s="346"/>
      <c r="AW50" s="474"/>
      <c r="AX50" s="474"/>
      <c r="AY50" s="474"/>
      <c r="AZ50" s="474"/>
      <c r="BA50" s="346"/>
      <c r="BB50" s="346"/>
      <c r="BC50" s="346"/>
      <c r="BD50" s="346"/>
      <c r="BE50" s="471"/>
      <c r="BG50" s="466" t="s">
        <v>54</v>
      </c>
      <c r="BH50" s="173" t="s">
        <v>157</v>
      </c>
      <c r="BI50" s="355"/>
      <c r="BJ50" s="355"/>
      <c r="BK50" s="339"/>
      <c r="BL50" s="355"/>
      <c r="BM50" s="459"/>
      <c r="BN50" s="463"/>
      <c r="BO50" s="339"/>
      <c r="BP50" s="339"/>
      <c r="BQ50" s="339"/>
      <c r="BR50" s="339"/>
      <c r="BV50" s="466" t="s">
        <v>54</v>
      </c>
      <c r="BW50" s="173" t="s">
        <v>219</v>
      </c>
      <c r="BX50" s="355"/>
      <c r="BY50" s="355"/>
      <c r="BZ50" s="463"/>
      <c r="CA50" s="339"/>
      <c r="CB50" s="339"/>
      <c r="CC50" s="339"/>
      <c r="CD50" s="339"/>
      <c r="CE50" s="339"/>
      <c r="DB50" s="333">
        <f>$J28</f>
        <v>15</v>
      </c>
    </row>
    <row r="51" spans="1:108" ht="14.1" customHeight="1">
      <c r="A51" s="339"/>
      <c r="B51" s="339"/>
      <c r="C51" s="339"/>
      <c r="J51" s="475" t="s">
        <v>55</v>
      </c>
      <c r="K51" s="476" t="s">
        <v>123</v>
      </c>
      <c r="L51" s="346"/>
      <c r="M51" s="346"/>
      <c r="N51" s="346"/>
      <c r="O51" s="346"/>
      <c r="P51" s="346"/>
      <c r="Q51" s="346"/>
      <c r="R51" s="346"/>
      <c r="S51" s="346"/>
      <c r="T51" s="474" t="s">
        <v>145</v>
      </c>
      <c r="U51" s="476" t="s">
        <v>147</v>
      </c>
      <c r="V51" s="346"/>
      <c r="W51" s="346"/>
      <c r="X51" s="471"/>
      <c r="AD51" s="459"/>
      <c r="AE51" s="339"/>
      <c r="AF51" s="339"/>
      <c r="AG51" s="339"/>
      <c r="AH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G51" s="466" t="s">
        <v>55</v>
      </c>
      <c r="BH51" s="174" t="s">
        <v>166</v>
      </c>
      <c r="BI51" s="339"/>
      <c r="BJ51" s="339"/>
      <c r="BK51" s="339"/>
      <c r="BL51" s="339"/>
      <c r="BM51" s="339"/>
      <c r="BN51" s="463"/>
      <c r="BO51" s="339"/>
      <c r="BP51" s="339"/>
      <c r="BQ51" s="339"/>
      <c r="BR51" s="339"/>
      <c r="BV51" s="466" t="s">
        <v>55</v>
      </c>
      <c r="BW51" s="174" t="s">
        <v>220</v>
      </c>
      <c r="BX51" s="339"/>
      <c r="BY51" s="339"/>
      <c r="BZ51" s="463"/>
      <c r="CA51" s="339"/>
      <c r="CB51" s="339"/>
      <c r="CC51" s="339"/>
      <c r="CD51" s="339"/>
      <c r="CE51" s="339"/>
      <c r="DB51" s="333">
        <f>$J29</f>
        <v>16</v>
      </c>
    </row>
    <row r="52" spans="1:108" ht="14.1" customHeight="1">
      <c r="A52" s="477"/>
      <c r="B52" s="339"/>
      <c r="C52" s="478"/>
      <c r="K52" s="193"/>
      <c r="N52" s="187"/>
      <c r="R52" s="321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G52" s="479" t="s">
        <v>56</v>
      </c>
      <c r="BH52" s="480" t="s">
        <v>158</v>
      </c>
      <c r="BI52" s="481"/>
      <c r="BJ52" s="481"/>
      <c r="BK52" s="481"/>
      <c r="BL52" s="481"/>
      <c r="BM52" s="346"/>
      <c r="BN52" s="471"/>
      <c r="BV52" s="479"/>
      <c r="BW52" s="346"/>
      <c r="BX52" s="481"/>
      <c r="BY52" s="481"/>
      <c r="BZ52" s="482"/>
      <c r="CL52" s="427"/>
      <c r="DB52" s="369"/>
    </row>
    <row r="53" spans="1:108" ht="14.1" customHeight="1">
      <c r="A53" s="339"/>
      <c r="B53" s="339"/>
      <c r="C53" s="477"/>
      <c r="K53" s="193"/>
      <c r="N53" s="187"/>
      <c r="R53" s="321"/>
      <c r="AB53" s="369"/>
      <c r="AP53" s="45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G53" s="483"/>
      <c r="BH53" s="339"/>
      <c r="BI53" s="355"/>
      <c r="BJ53" s="355"/>
      <c r="BK53" s="355"/>
      <c r="BL53" s="355"/>
      <c r="BM53" s="339"/>
      <c r="BN53" s="339"/>
      <c r="BV53" s="483"/>
      <c r="BW53" s="339"/>
      <c r="BX53" s="355"/>
      <c r="BY53" s="355"/>
      <c r="BZ53" s="355"/>
      <c r="CL53" s="357"/>
      <c r="DD53" s="369"/>
    </row>
    <row r="54" spans="1:108" ht="14.1" customHeight="1">
      <c r="C54" s="484"/>
      <c r="K54" s="193"/>
      <c r="N54" s="187"/>
      <c r="R54" s="321"/>
      <c r="AP54" s="485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H54" s="336"/>
      <c r="BW54" s="336"/>
    </row>
    <row r="55" spans="1:108" ht="14.1" customHeight="1">
      <c r="C55" s="484"/>
      <c r="N55" s="187"/>
      <c r="R55" s="321"/>
      <c r="AP55" s="485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H55" s="336"/>
      <c r="BW55" s="336"/>
    </row>
    <row r="56" spans="1:108">
      <c r="C56" s="486"/>
      <c r="N56" s="187"/>
      <c r="Q56" s="321"/>
      <c r="AO56" s="477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G56" s="336"/>
      <c r="BV56" s="336"/>
    </row>
    <row r="57" spans="1:108">
      <c r="C57" s="487"/>
      <c r="N57" s="187"/>
      <c r="Q57" s="32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G57" s="336"/>
      <c r="BV57" s="336"/>
    </row>
    <row r="58" spans="1:108">
      <c r="C58" s="487"/>
      <c r="N58" s="187"/>
      <c r="Q58" s="321"/>
      <c r="AZ58" s="187"/>
      <c r="BG58" s="336"/>
      <c r="BV58" s="336"/>
    </row>
    <row r="59" spans="1:108">
      <c r="C59" s="488"/>
      <c r="N59" s="187"/>
      <c r="Q59" s="321"/>
      <c r="AZ59" s="187"/>
      <c r="BG59" s="336"/>
      <c r="BV59" s="336"/>
    </row>
    <row r="60" spans="1:108">
      <c r="N60" s="187"/>
      <c r="Q60" s="321"/>
      <c r="AZ60" s="187"/>
      <c r="BG60" s="336"/>
      <c r="BV60" s="336"/>
    </row>
    <row r="61" spans="1:108">
      <c r="N61" s="187"/>
      <c r="Q61" s="321"/>
      <c r="AZ61" s="187"/>
      <c r="BG61" s="336"/>
      <c r="BV61" s="336"/>
    </row>
    <row r="62" spans="1:108" ht="12" customHeight="1">
      <c r="N62" s="187"/>
      <c r="Q62" s="321"/>
      <c r="AZ62" s="187"/>
      <c r="BG62" s="336"/>
      <c r="BV62" s="336"/>
    </row>
    <row r="63" spans="1:108">
      <c r="D63" s="339"/>
      <c r="E63" s="339"/>
      <c r="F63" s="489"/>
      <c r="G63" s="489"/>
      <c r="N63" s="187"/>
      <c r="Q63" s="321"/>
      <c r="AZ63" s="187"/>
      <c r="BG63" s="336"/>
      <c r="BV63" s="336"/>
    </row>
    <row r="64" spans="1:108">
      <c r="D64" s="339"/>
      <c r="E64" s="339"/>
      <c r="F64" s="489"/>
      <c r="G64" s="489"/>
      <c r="N64" s="187"/>
      <c r="Q64" s="321"/>
      <c r="AZ64" s="187"/>
      <c r="BG64" s="336"/>
      <c r="BV64" s="336"/>
    </row>
    <row r="65" spans="1:74">
      <c r="C65" s="357"/>
      <c r="D65" s="339"/>
      <c r="E65" s="339"/>
      <c r="F65" s="339"/>
      <c r="G65" s="339"/>
      <c r="N65" s="187"/>
      <c r="Q65" s="321"/>
      <c r="AZ65" s="187"/>
      <c r="BG65" s="336"/>
      <c r="BV65" s="336"/>
    </row>
    <row r="66" spans="1:74">
      <c r="A66" s="44"/>
      <c r="B66" s="185"/>
      <c r="D66" s="339"/>
      <c r="E66" s="339"/>
      <c r="F66" s="339"/>
      <c r="G66" s="339"/>
      <c r="N66" s="187"/>
      <c r="Q66" s="321"/>
      <c r="AZ66" s="187"/>
      <c r="BG66" s="336"/>
      <c r="BV66" s="336"/>
    </row>
    <row r="67" spans="1:74">
      <c r="A67" s="44"/>
      <c r="B67" s="185"/>
      <c r="D67" s="339"/>
      <c r="E67" s="339"/>
      <c r="F67" s="339"/>
      <c r="G67" s="339"/>
      <c r="N67" s="187"/>
      <c r="Q67" s="321"/>
      <c r="AZ67" s="187"/>
      <c r="BG67" s="336"/>
      <c r="BV67" s="336"/>
    </row>
    <row r="68" spans="1:74">
      <c r="N68" s="187"/>
      <c r="Q68" s="321"/>
      <c r="AZ68" s="187"/>
      <c r="BG68" s="336"/>
      <c r="BV68" s="336"/>
    </row>
    <row r="69" spans="1:74">
      <c r="N69" s="187"/>
      <c r="Q69" s="321"/>
      <c r="AZ69" s="187"/>
      <c r="BG69" s="336"/>
      <c r="BV69" s="336"/>
    </row>
    <row r="70" spans="1:74">
      <c r="N70" s="187"/>
      <c r="Q70" s="321"/>
      <c r="AZ70" s="187"/>
      <c r="BG70" s="336"/>
      <c r="BV70" s="336"/>
    </row>
    <row r="71" spans="1:74">
      <c r="N71" s="187"/>
      <c r="Q71" s="321"/>
      <c r="AZ71" s="187"/>
      <c r="BG71" s="336"/>
      <c r="BV71" s="336"/>
    </row>
    <row r="72" spans="1:74">
      <c r="N72" s="187"/>
      <c r="Q72" s="321"/>
      <c r="AZ72" s="187"/>
      <c r="BG72" s="336"/>
      <c r="BV72" s="336"/>
    </row>
    <row r="73" spans="1:74">
      <c r="N73" s="187"/>
      <c r="Q73" s="321"/>
      <c r="AZ73" s="187"/>
      <c r="BG73" s="336"/>
      <c r="BV73" s="336"/>
    </row>
    <row r="74" spans="1:74">
      <c r="N74" s="187"/>
      <c r="Q74" s="321"/>
      <c r="AZ74" s="187"/>
      <c r="BG74" s="336"/>
      <c r="BV74" s="336"/>
    </row>
    <row r="75" spans="1:74">
      <c r="N75" s="187"/>
      <c r="Q75" s="321"/>
      <c r="AZ75" s="187"/>
      <c r="BG75" s="336"/>
      <c r="BV75" s="336"/>
    </row>
    <row r="76" spans="1:74">
      <c r="N76" s="187"/>
      <c r="Q76" s="321"/>
      <c r="AZ76" s="187"/>
      <c r="BG76" s="336"/>
      <c r="BV76" s="336"/>
    </row>
    <row r="77" spans="1:74">
      <c r="N77" s="187"/>
      <c r="Q77" s="321"/>
      <c r="AZ77" s="187"/>
      <c r="BG77" s="336"/>
      <c r="BV77" s="336"/>
    </row>
    <row r="78" spans="1:74">
      <c r="N78" s="187"/>
      <c r="Q78" s="321"/>
      <c r="AZ78" s="187"/>
      <c r="BG78" s="336"/>
      <c r="BV78" s="336"/>
    </row>
    <row r="79" spans="1:74">
      <c r="N79" s="187"/>
      <c r="Q79" s="321"/>
      <c r="AZ79" s="187"/>
      <c r="BG79" s="336"/>
      <c r="BV79" s="336"/>
    </row>
    <row r="80" spans="1:74">
      <c r="N80" s="187"/>
      <c r="Q80" s="321"/>
      <c r="AZ80" s="187"/>
      <c r="BG80" s="336"/>
      <c r="BV80" s="336"/>
    </row>
    <row r="81" spans="6:74">
      <c r="F81" s="444"/>
      <c r="G81" s="444"/>
      <c r="N81" s="187"/>
      <c r="Q81" s="321"/>
      <c r="AZ81" s="187"/>
      <c r="BG81" s="336"/>
      <c r="BV81" s="336"/>
    </row>
    <row r="82" spans="6:74">
      <c r="N82" s="187"/>
      <c r="Q82" s="321"/>
      <c r="AZ82" s="187"/>
      <c r="BG82" s="336"/>
      <c r="BV82" s="336"/>
    </row>
    <row r="83" spans="6:74">
      <c r="N83" s="187"/>
      <c r="Q83" s="321"/>
      <c r="AZ83" s="187"/>
      <c r="BG83" s="336"/>
      <c r="BV83" s="336"/>
    </row>
    <row r="84" spans="6:74">
      <c r="N84" s="187"/>
      <c r="Q84" s="321"/>
      <c r="AZ84" s="187"/>
      <c r="BG84" s="336"/>
      <c r="BV84" s="336"/>
    </row>
    <row r="85" spans="6:74">
      <c r="N85" s="187"/>
      <c r="Q85" s="321"/>
      <c r="AZ85" s="187"/>
      <c r="BG85" s="336"/>
      <c r="BV85" s="336"/>
    </row>
    <row r="86" spans="6:74">
      <c r="N86" s="187"/>
      <c r="Q86" s="321"/>
      <c r="AZ86" s="187"/>
      <c r="BG86" s="336"/>
      <c r="BV86" s="336"/>
    </row>
    <row r="87" spans="6:74">
      <c r="N87" s="187"/>
      <c r="Q87" s="321"/>
      <c r="AZ87" s="187"/>
      <c r="BG87" s="336"/>
      <c r="BV87" s="336"/>
    </row>
    <row r="88" spans="6:74">
      <c r="N88" s="187"/>
      <c r="Q88" s="321"/>
      <c r="AZ88" s="187"/>
      <c r="BG88" s="336"/>
      <c r="BV88" s="336"/>
    </row>
    <row r="89" spans="6:74">
      <c r="N89" s="187"/>
      <c r="Q89" s="321"/>
      <c r="AZ89" s="187"/>
      <c r="BG89" s="336"/>
      <c r="BV89" s="336"/>
    </row>
    <row r="90" spans="6:74">
      <c r="N90" s="187"/>
      <c r="Q90" s="321"/>
      <c r="AZ90" s="187"/>
      <c r="BG90" s="336"/>
      <c r="BV90" s="336"/>
    </row>
    <row r="91" spans="6:74">
      <c r="N91" s="187"/>
      <c r="Q91" s="321"/>
      <c r="AZ91" s="187"/>
      <c r="BG91" s="336"/>
      <c r="BV91" s="336"/>
    </row>
    <row r="92" spans="6:74">
      <c r="N92" s="187"/>
      <c r="Q92" s="321"/>
      <c r="AZ92" s="187"/>
      <c r="BG92" s="336"/>
      <c r="BV92" s="336"/>
    </row>
    <row r="93" spans="6:74">
      <c r="N93" s="187"/>
      <c r="Q93" s="321"/>
      <c r="AZ93" s="187"/>
      <c r="BG93" s="336"/>
      <c r="BV93" s="336"/>
    </row>
    <row r="94" spans="6:74">
      <c r="N94" s="187"/>
      <c r="Q94" s="321"/>
      <c r="AZ94" s="187"/>
      <c r="BG94" s="336"/>
      <c r="BV94" s="336"/>
    </row>
    <row r="95" spans="6:74">
      <c r="N95" s="187"/>
      <c r="Q95" s="321"/>
      <c r="AZ95" s="187"/>
      <c r="BG95" s="336"/>
      <c r="BV95" s="336"/>
    </row>
    <row r="96" spans="6:74">
      <c r="N96" s="187"/>
      <c r="Q96" s="321"/>
      <c r="AZ96" s="187"/>
      <c r="BG96" s="336"/>
      <c r="BV96" s="336"/>
    </row>
    <row r="97" spans="1:74">
      <c r="N97" s="187"/>
      <c r="Q97" s="321"/>
      <c r="AZ97" s="187"/>
      <c r="BG97" s="336"/>
      <c r="BV97" s="336"/>
    </row>
    <row r="98" spans="1:74">
      <c r="N98" s="187"/>
      <c r="Q98" s="321"/>
      <c r="AZ98" s="187"/>
      <c r="BG98" s="336"/>
      <c r="BV98" s="336"/>
    </row>
    <row r="99" spans="1:74">
      <c r="N99" s="187"/>
      <c r="Q99" s="321"/>
      <c r="AZ99" s="187"/>
      <c r="BG99" s="336"/>
      <c r="BV99" s="336"/>
    </row>
    <row r="100" spans="1:74">
      <c r="N100" s="187"/>
      <c r="Q100" s="321"/>
      <c r="AZ100" s="187"/>
      <c r="BG100" s="336"/>
      <c r="BV100" s="336"/>
    </row>
    <row r="101" spans="1:74">
      <c r="N101" s="187"/>
      <c r="Q101" s="321"/>
      <c r="AZ101" s="187"/>
      <c r="BG101" s="336"/>
      <c r="BV101" s="336"/>
    </row>
    <row r="102" spans="1:74">
      <c r="N102" s="187"/>
      <c r="Q102" s="321"/>
      <c r="AZ102" s="187"/>
      <c r="BG102" s="336"/>
      <c r="BV102" s="336"/>
    </row>
    <row r="103" spans="1:74">
      <c r="N103" s="187"/>
      <c r="Q103" s="321"/>
      <c r="AZ103" s="187"/>
      <c r="BG103" s="336"/>
      <c r="BV103" s="336"/>
    </row>
    <row r="104" spans="1:74">
      <c r="N104" s="187"/>
      <c r="Q104" s="321"/>
      <c r="AZ104" s="187"/>
      <c r="BG104" s="336"/>
      <c r="BV104" s="336"/>
    </row>
    <row r="105" spans="1:74">
      <c r="E105" s="490"/>
      <c r="N105" s="187"/>
      <c r="Q105" s="321"/>
      <c r="AZ105" s="187"/>
      <c r="BG105" s="336"/>
      <c r="BV105" s="336"/>
    </row>
    <row r="106" spans="1:74">
      <c r="N106" s="187"/>
      <c r="Q106" s="321"/>
      <c r="AZ106" s="187"/>
      <c r="BG106" s="336"/>
      <c r="BV106" s="336"/>
    </row>
    <row r="107" spans="1:74">
      <c r="N107" s="187"/>
      <c r="Q107" s="321"/>
      <c r="AZ107" s="187"/>
      <c r="BG107" s="336"/>
      <c r="BV107" s="336"/>
    </row>
    <row r="108" spans="1:74">
      <c r="N108" s="187"/>
      <c r="Q108" s="321"/>
      <c r="AZ108" s="187"/>
      <c r="BG108" s="336"/>
      <c r="BV108" s="336"/>
    </row>
    <row r="109" spans="1:74">
      <c r="N109" s="187"/>
      <c r="Q109" s="321"/>
      <c r="AZ109" s="187"/>
      <c r="BG109" s="336"/>
      <c r="BV109" s="336"/>
    </row>
    <row r="110" spans="1:74">
      <c r="N110" s="187"/>
      <c r="Q110" s="321"/>
      <c r="AZ110" s="187"/>
      <c r="BG110" s="336"/>
      <c r="BV110" s="336"/>
    </row>
    <row r="111" spans="1:74">
      <c r="A111" s="44"/>
      <c r="B111" s="185"/>
      <c r="N111" s="187"/>
      <c r="Q111" s="321"/>
      <c r="AZ111" s="187"/>
      <c r="BG111" s="336"/>
      <c r="BV111" s="336"/>
    </row>
    <row r="112" spans="1:74">
      <c r="N112" s="187"/>
      <c r="Q112" s="321"/>
      <c r="AZ112" s="187"/>
      <c r="BG112" s="336"/>
      <c r="BV112" s="336"/>
    </row>
    <row r="113" spans="1:74">
      <c r="N113" s="187"/>
      <c r="Q113" s="321"/>
      <c r="AZ113" s="187"/>
      <c r="BG113" s="336"/>
      <c r="BV113" s="336"/>
    </row>
    <row r="114" spans="1:74">
      <c r="N114" s="187"/>
      <c r="Q114" s="321"/>
      <c r="AZ114" s="187"/>
      <c r="BG114" s="336"/>
      <c r="BV114" s="336"/>
    </row>
    <row r="115" spans="1:74">
      <c r="N115" s="187"/>
      <c r="Q115" s="321"/>
      <c r="AZ115" s="187"/>
      <c r="BG115" s="336"/>
      <c r="BV115" s="336"/>
    </row>
    <row r="116" spans="1:74">
      <c r="N116" s="187"/>
      <c r="Q116" s="321"/>
      <c r="AZ116" s="187"/>
      <c r="BG116" s="336"/>
      <c r="BV116" s="336"/>
    </row>
    <row r="117" spans="1:74">
      <c r="N117" s="187"/>
      <c r="Q117" s="321"/>
      <c r="AZ117" s="187"/>
      <c r="BG117" s="336"/>
      <c r="BV117" s="336"/>
    </row>
    <row r="118" spans="1:74">
      <c r="N118" s="187"/>
      <c r="Q118" s="321"/>
      <c r="AZ118" s="187"/>
      <c r="BG118" s="336"/>
      <c r="BV118" s="336"/>
    </row>
    <row r="119" spans="1:74">
      <c r="N119" s="187"/>
      <c r="Q119" s="321"/>
      <c r="AZ119" s="187"/>
      <c r="BG119" s="336"/>
      <c r="BV119" s="336"/>
    </row>
    <row r="120" spans="1:74">
      <c r="N120" s="187"/>
      <c r="Q120" s="321"/>
      <c r="AZ120" s="187"/>
      <c r="BG120" s="336"/>
      <c r="BV120" s="336"/>
    </row>
    <row r="121" spans="1:74">
      <c r="N121" s="187"/>
      <c r="Q121" s="321"/>
      <c r="AZ121" s="187"/>
      <c r="BG121" s="336"/>
      <c r="BV121" s="336"/>
    </row>
    <row r="122" spans="1:74">
      <c r="N122" s="187"/>
      <c r="Q122" s="321"/>
      <c r="AZ122" s="187"/>
      <c r="BG122" s="336"/>
      <c r="BV122" s="336"/>
    </row>
    <row r="123" spans="1:74">
      <c r="N123" s="187"/>
      <c r="Q123" s="321"/>
      <c r="AZ123" s="187"/>
      <c r="BG123" s="336"/>
      <c r="BV123" s="336"/>
    </row>
    <row r="124" spans="1:74">
      <c r="N124" s="187"/>
      <c r="Q124" s="321"/>
      <c r="AZ124" s="187"/>
      <c r="BG124" s="336"/>
      <c r="BV124" s="336"/>
    </row>
    <row r="125" spans="1:74">
      <c r="N125" s="187"/>
      <c r="Q125" s="321"/>
      <c r="AZ125" s="187"/>
      <c r="BG125" s="336"/>
      <c r="BV125" s="336"/>
    </row>
    <row r="126" spans="1:74">
      <c r="N126" s="187"/>
      <c r="Q126" s="321"/>
      <c r="AZ126" s="187"/>
      <c r="BG126" s="336"/>
      <c r="BV126" s="336"/>
    </row>
    <row r="127" spans="1:74">
      <c r="N127" s="187"/>
      <c r="Q127" s="321"/>
      <c r="AZ127" s="187"/>
      <c r="BG127" s="336"/>
      <c r="BV127" s="336"/>
    </row>
    <row r="128" spans="1:74">
      <c r="A128" s="185"/>
      <c r="N128" s="187"/>
      <c r="Q128" s="321"/>
      <c r="AZ128" s="187"/>
      <c r="BG128" s="336"/>
      <c r="BV128" s="336"/>
    </row>
    <row r="129" spans="1:74">
      <c r="A129" s="185"/>
      <c r="N129" s="187"/>
      <c r="Q129" s="321"/>
      <c r="AZ129" s="187"/>
      <c r="BG129" s="336"/>
      <c r="BV129" s="336"/>
    </row>
    <row r="130" spans="1:74">
      <c r="A130" s="185"/>
      <c r="B130" s="185"/>
      <c r="N130" s="187"/>
      <c r="Q130" s="321"/>
      <c r="AZ130" s="187"/>
      <c r="BG130" s="336"/>
      <c r="BV130" s="336"/>
    </row>
    <row r="131" spans="1:74">
      <c r="N131" s="187"/>
      <c r="Q131" s="321"/>
      <c r="AZ131" s="187"/>
      <c r="BG131" s="336"/>
      <c r="BV131" s="336"/>
    </row>
    <row r="132" spans="1:74">
      <c r="A132" s="185"/>
      <c r="B132" s="185"/>
      <c r="N132" s="187"/>
      <c r="Q132" s="321"/>
      <c r="AZ132" s="187"/>
      <c r="BG132" s="336"/>
      <c r="BV132" s="336"/>
    </row>
    <row r="133" spans="1:74">
      <c r="N133" s="187"/>
      <c r="Q133" s="321"/>
      <c r="AZ133" s="187"/>
      <c r="BG133" s="336"/>
      <c r="BV133" s="336"/>
    </row>
    <row r="134" spans="1:74">
      <c r="A134" s="185"/>
      <c r="B134" s="185"/>
      <c r="N134" s="187"/>
      <c r="Q134" s="321"/>
      <c r="AZ134" s="187"/>
      <c r="BG134" s="336"/>
      <c r="BV134" s="336"/>
    </row>
    <row r="135" spans="1:74">
      <c r="N135" s="187"/>
      <c r="Q135" s="321"/>
      <c r="AZ135" s="187"/>
      <c r="BG135" s="336"/>
      <c r="BV135" s="336"/>
    </row>
    <row r="136" spans="1:74">
      <c r="A136" s="185"/>
      <c r="B136" s="185"/>
      <c r="N136" s="187"/>
      <c r="Q136" s="321"/>
      <c r="AZ136" s="187"/>
      <c r="BG136" s="336"/>
      <c r="BV136" s="336"/>
    </row>
    <row r="137" spans="1:74">
      <c r="N137" s="187"/>
      <c r="Q137" s="321"/>
      <c r="AZ137" s="187"/>
      <c r="BG137" s="336"/>
      <c r="BV137" s="336"/>
    </row>
    <row r="138" spans="1:74">
      <c r="A138" s="185"/>
      <c r="B138" s="185"/>
      <c r="N138" s="187"/>
      <c r="Q138" s="321"/>
      <c r="AZ138" s="187"/>
      <c r="BG138" s="336"/>
      <c r="BV138" s="336"/>
    </row>
    <row r="139" spans="1:74">
      <c r="N139" s="187"/>
      <c r="Q139" s="321"/>
      <c r="AZ139" s="187"/>
      <c r="BG139" s="336"/>
      <c r="BV139" s="336"/>
    </row>
    <row r="140" spans="1:74">
      <c r="A140" s="185"/>
      <c r="B140" s="185"/>
      <c r="N140" s="187"/>
      <c r="Q140" s="321"/>
      <c r="AZ140" s="187"/>
      <c r="BG140" s="336"/>
      <c r="BV140" s="336"/>
    </row>
    <row r="141" spans="1:74">
      <c r="N141" s="187"/>
      <c r="Q141" s="321"/>
      <c r="AZ141" s="187"/>
      <c r="BG141" s="336"/>
      <c r="BV141" s="336"/>
    </row>
    <row r="142" spans="1:74">
      <c r="A142" s="185"/>
      <c r="B142" s="185"/>
      <c r="N142" s="187"/>
      <c r="Q142" s="321"/>
      <c r="AZ142" s="187"/>
      <c r="BG142" s="336"/>
      <c r="BV142" s="336"/>
    </row>
    <row r="143" spans="1:74">
      <c r="N143" s="187"/>
      <c r="Q143" s="321"/>
      <c r="AZ143" s="187"/>
      <c r="BG143" s="336"/>
      <c r="BV143" s="336"/>
    </row>
    <row r="144" spans="1:74">
      <c r="A144" s="185"/>
      <c r="B144" s="185"/>
      <c r="N144" s="187"/>
      <c r="Q144" s="321"/>
      <c r="AZ144" s="187"/>
      <c r="BG144" s="336"/>
      <c r="BV144" s="336"/>
    </row>
    <row r="145" spans="1:74">
      <c r="N145" s="187"/>
      <c r="Q145" s="321"/>
      <c r="AZ145" s="187"/>
      <c r="BG145" s="336"/>
      <c r="BV145" s="336"/>
    </row>
    <row r="146" spans="1:74">
      <c r="N146" s="187"/>
      <c r="Q146" s="321"/>
      <c r="AZ146" s="187"/>
      <c r="BG146" s="336"/>
      <c r="BV146" s="336"/>
    </row>
    <row r="147" spans="1:74">
      <c r="N147" s="187"/>
      <c r="Q147" s="321"/>
      <c r="AZ147" s="187"/>
      <c r="BG147" s="336"/>
      <c r="BV147" s="336"/>
    </row>
    <row r="148" spans="1:74">
      <c r="A148" s="185"/>
      <c r="N148" s="187"/>
      <c r="Q148" s="321"/>
      <c r="AZ148" s="187"/>
      <c r="BG148" s="336"/>
      <c r="BV148" s="336"/>
    </row>
    <row r="149" spans="1:74">
      <c r="A149" s="185"/>
      <c r="N149" s="187"/>
      <c r="Q149" s="321"/>
      <c r="AZ149" s="187"/>
      <c r="BG149" s="336"/>
      <c r="BV149" s="336"/>
    </row>
    <row r="150" spans="1:74">
      <c r="A150" s="185"/>
      <c r="B150" s="185"/>
      <c r="N150" s="187"/>
      <c r="Q150" s="321"/>
      <c r="AZ150" s="187"/>
      <c r="BG150" s="336"/>
      <c r="BV150" s="336"/>
    </row>
    <row r="151" spans="1:74">
      <c r="B151" s="185"/>
      <c r="N151" s="187"/>
      <c r="Q151" s="321"/>
      <c r="AZ151" s="187"/>
      <c r="BG151" s="336"/>
      <c r="BV151" s="336"/>
    </row>
    <row r="152" spans="1:74">
      <c r="B152" s="185"/>
      <c r="N152" s="187"/>
      <c r="Q152" s="321"/>
      <c r="AZ152" s="187"/>
      <c r="BG152" s="336"/>
      <c r="BV152" s="336"/>
    </row>
    <row r="153" spans="1:74">
      <c r="B153" s="185"/>
      <c r="N153" s="187"/>
      <c r="Q153" s="321"/>
      <c r="AZ153" s="187"/>
      <c r="BG153" s="336"/>
      <c r="BV153" s="336"/>
    </row>
    <row r="154" spans="1:74">
      <c r="B154" s="185"/>
      <c r="N154" s="187"/>
      <c r="Q154" s="321"/>
      <c r="AZ154" s="187"/>
      <c r="BG154" s="336"/>
      <c r="BV154" s="336"/>
    </row>
    <row r="155" spans="1:74">
      <c r="B155" s="185"/>
      <c r="N155" s="187"/>
      <c r="Q155" s="321"/>
      <c r="AZ155" s="187"/>
      <c r="BG155" s="336"/>
      <c r="BV155" s="336"/>
    </row>
    <row r="156" spans="1:74">
      <c r="B156" s="185"/>
      <c r="N156" s="187"/>
      <c r="Q156" s="321"/>
      <c r="AZ156" s="187"/>
      <c r="BG156" s="336"/>
      <c r="BV156" s="336"/>
    </row>
    <row r="157" spans="1:74">
      <c r="B157" s="185"/>
      <c r="N157" s="187"/>
      <c r="Q157" s="321"/>
      <c r="AZ157" s="187"/>
      <c r="BG157" s="336"/>
      <c r="BV157" s="336"/>
    </row>
    <row r="158" spans="1:74">
      <c r="N158" s="187"/>
      <c r="Q158" s="321"/>
      <c r="AZ158" s="187"/>
      <c r="BG158" s="336"/>
      <c r="BV158" s="336"/>
    </row>
    <row r="159" spans="1:74">
      <c r="N159" s="187"/>
      <c r="Q159" s="321"/>
      <c r="AZ159" s="187"/>
      <c r="BG159" s="336"/>
      <c r="BV159" s="336"/>
    </row>
    <row r="160" spans="1:74">
      <c r="N160" s="187"/>
      <c r="Q160" s="321"/>
      <c r="AZ160" s="187"/>
      <c r="BG160" s="336"/>
      <c r="BV160" s="336"/>
    </row>
    <row r="161" spans="1:74">
      <c r="A161" s="185"/>
      <c r="B161" s="185"/>
      <c r="N161" s="187"/>
      <c r="Q161" s="321"/>
      <c r="AZ161" s="187"/>
      <c r="BG161" s="336"/>
      <c r="BV161" s="336"/>
    </row>
    <row r="162" spans="1:74">
      <c r="B162" s="185"/>
      <c r="N162" s="187"/>
      <c r="Q162" s="321"/>
      <c r="AZ162" s="187"/>
      <c r="BG162" s="336"/>
      <c r="BV162" s="336"/>
    </row>
    <row r="163" spans="1:74">
      <c r="N163" s="187"/>
      <c r="Q163" s="321"/>
      <c r="AZ163" s="187"/>
      <c r="BG163" s="336"/>
      <c r="BV163" s="336"/>
    </row>
    <row r="164" spans="1:74">
      <c r="N164" s="187"/>
      <c r="Q164" s="321"/>
      <c r="AZ164" s="187"/>
      <c r="BG164" s="336"/>
      <c r="BV164" s="336"/>
    </row>
    <row r="165" spans="1:74">
      <c r="N165" s="187"/>
      <c r="Q165" s="321"/>
      <c r="AZ165" s="187"/>
      <c r="BG165" s="336"/>
      <c r="BV165" s="336"/>
    </row>
    <row r="166" spans="1:74">
      <c r="N166" s="187"/>
      <c r="Q166" s="321"/>
      <c r="AZ166" s="187"/>
      <c r="BG166" s="336"/>
      <c r="BV166" s="336"/>
    </row>
    <row r="167" spans="1:74">
      <c r="N167" s="187"/>
      <c r="Q167" s="321"/>
      <c r="AZ167" s="187"/>
      <c r="BG167" s="336"/>
      <c r="BV167" s="336"/>
    </row>
    <row r="168" spans="1:74">
      <c r="A168" s="185"/>
      <c r="N168" s="187"/>
      <c r="Q168" s="321"/>
      <c r="AZ168" s="187"/>
      <c r="BG168" s="336"/>
      <c r="BV168" s="336"/>
    </row>
    <row r="169" spans="1:74">
      <c r="A169" s="185"/>
      <c r="N169" s="187"/>
      <c r="Q169" s="321"/>
      <c r="AZ169" s="187"/>
      <c r="BG169" s="336"/>
      <c r="BV169" s="336"/>
    </row>
    <row r="170" spans="1:74">
      <c r="A170" s="185"/>
      <c r="B170" s="185"/>
      <c r="N170" s="187"/>
      <c r="Q170" s="321"/>
      <c r="AZ170" s="187"/>
      <c r="BG170" s="336"/>
      <c r="BV170" s="336"/>
    </row>
    <row r="171" spans="1:74">
      <c r="B171" s="185"/>
      <c r="N171" s="187"/>
      <c r="Q171" s="321"/>
      <c r="AZ171" s="187"/>
      <c r="BG171" s="336"/>
      <c r="BV171" s="336"/>
    </row>
    <row r="172" spans="1:74">
      <c r="A172" s="185"/>
      <c r="B172" s="185"/>
      <c r="N172" s="187"/>
      <c r="Q172" s="321"/>
      <c r="AZ172" s="187"/>
      <c r="BG172" s="336"/>
      <c r="BV172" s="336"/>
    </row>
    <row r="173" spans="1:74">
      <c r="AZ173" s="187"/>
      <c r="BC173" s="336"/>
    </row>
    <row r="174" spans="1:74">
      <c r="AZ174" s="187"/>
      <c r="BC174" s="336"/>
    </row>
    <row r="175" spans="1:74">
      <c r="AZ175" s="187"/>
      <c r="BC175" s="336"/>
    </row>
    <row r="176" spans="1:74">
      <c r="AZ176" s="187"/>
      <c r="BC176" s="336"/>
    </row>
    <row r="177" spans="52:55">
      <c r="AZ177" s="187"/>
      <c r="BC177" s="336"/>
    </row>
    <row r="178" spans="52:55">
      <c r="AZ178" s="187"/>
      <c r="BC178" s="336"/>
    </row>
    <row r="179" spans="52:55">
      <c r="AZ179" s="187"/>
      <c r="BC179" s="336"/>
    </row>
    <row r="180" spans="52:55">
      <c r="AZ180" s="187"/>
      <c r="BC180" s="336"/>
    </row>
    <row r="181" spans="52:55">
      <c r="AZ181" s="187"/>
      <c r="BC181" s="336"/>
    </row>
    <row r="182" spans="52:55">
      <c r="AZ182" s="187"/>
      <c r="BC182" s="336"/>
    </row>
    <row r="183" spans="52:55">
      <c r="AZ183" s="187"/>
      <c r="BC183" s="336"/>
    </row>
    <row r="184" spans="52:55">
      <c r="AZ184" s="187"/>
      <c r="BC184" s="336"/>
    </row>
    <row r="185" spans="52:55">
      <c r="AZ185" s="187"/>
      <c r="BC185" s="336"/>
    </row>
    <row r="186" spans="52:55">
      <c r="AZ186" s="187"/>
      <c r="BC186" s="336"/>
    </row>
    <row r="187" spans="52:55">
      <c r="AZ187" s="187"/>
      <c r="BC187" s="336"/>
    </row>
    <row r="188" spans="52:55">
      <c r="AZ188" s="187"/>
      <c r="BC188" s="336"/>
    </row>
    <row r="189" spans="52:55">
      <c r="AZ189" s="187"/>
      <c r="BC189" s="336"/>
    </row>
    <row r="190" spans="52:55">
      <c r="AZ190" s="187"/>
      <c r="BC190" s="336"/>
    </row>
    <row r="191" spans="52:55">
      <c r="AZ191" s="187"/>
      <c r="BC191" s="336"/>
    </row>
    <row r="192" spans="52:55">
      <c r="AZ192" s="187"/>
      <c r="BC192" s="336"/>
    </row>
    <row r="193" spans="52:55">
      <c r="AZ193" s="187"/>
      <c r="BC193" s="336"/>
    </row>
    <row r="194" spans="52:55">
      <c r="AZ194" s="187"/>
      <c r="BC194" s="336"/>
    </row>
    <row r="195" spans="52:55">
      <c r="AZ195" s="187"/>
      <c r="BC195" s="336"/>
    </row>
    <row r="196" spans="52:55">
      <c r="AZ196" s="187"/>
      <c r="BC196" s="336"/>
    </row>
    <row r="197" spans="52:55">
      <c r="AZ197" s="187"/>
      <c r="BC197" s="336"/>
    </row>
    <row r="198" spans="52:55">
      <c r="AZ198" s="187"/>
      <c r="BC198" s="336"/>
    </row>
    <row r="199" spans="52:55">
      <c r="AZ199" s="187"/>
      <c r="BC199" s="336"/>
    </row>
    <row r="200" spans="52:55">
      <c r="AZ200" s="187"/>
      <c r="BC200" s="336"/>
    </row>
    <row r="201" spans="52:55">
      <c r="AZ201" s="187"/>
      <c r="BC201" s="336"/>
    </row>
    <row r="202" spans="52:55">
      <c r="AZ202" s="187"/>
      <c r="BC202" s="336"/>
    </row>
    <row r="203" spans="52:55">
      <c r="AZ203" s="187"/>
      <c r="BC203" s="336"/>
    </row>
    <row r="204" spans="52:55">
      <c r="AZ204" s="187"/>
      <c r="BC204" s="336"/>
    </row>
    <row r="205" spans="52:55">
      <c r="AZ205" s="187"/>
      <c r="BC205" s="336"/>
    </row>
    <row r="206" spans="52:55">
      <c r="AZ206" s="187"/>
      <c r="BC206" s="336"/>
    </row>
    <row r="207" spans="52:55">
      <c r="AZ207" s="187"/>
      <c r="BC207" s="336"/>
    </row>
    <row r="208" spans="52:55">
      <c r="AZ208" s="187"/>
      <c r="BC208" s="336"/>
    </row>
    <row r="209" spans="52:55">
      <c r="AZ209" s="187"/>
      <c r="BC209" s="336"/>
    </row>
    <row r="210" spans="52:55">
      <c r="AZ210" s="187"/>
      <c r="BC210" s="336"/>
    </row>
    <row r="211" spans="52:55">
      <c r="AZ211" s="187"/>
      <c r="BC211" s="336"/>
    </row>
    <row r="212" spans="52:55">
      <c r="AZ212" s="187"/>
      <c r="BC212" s="336"/>
    </row>
    <row r="213" spans="52:55">
      <c r="AZ213" s="187"/>
      <c r="BC213" s="336"/>
    </row>
    <row r="214" spans="52:55">
      <c r="AZ214" s="187"/>
      <c r="BC214" s="336"/>
    </row>
  </sheetData>
  <printOptions horizontalCentered="1" gridLinesSet="0"/>
  <pageMargins left="0.25" right="0.25" top="0.7" bottom="0.37" header="0.5" footer="0.17"/>
  <pageSetup scale="83" orientation="landscape" r:id="rId1"/>
  <headerFooter alignWithMargins="0">
    <oddFooter>&amp;C&amp;P</oddFooter>
  </headerFooter>
  <colBreaks count="5" manualBreakCount="5">
    <brk id="9" max="51" man="1"/>
    <brk id="29" max="51" man="1"/>
    <brk id="41" max="51" man="1"/>
    <brk id="58" max="51" man="1"/>
    <brk id="73" max="5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17</vt:i4>
      </vt:variant>
    </vt:vector>
  </HeadingPairs>
  <TitlesOfParts>
    <vt:vector size="31" baseType="lpstr">
      <vt:lpstr>Summary 2015</vt:lpstr>
      <vt:lpstr>Database Inputs</vt:lpstr>
      <vt:lpstr>Total Program Inputs</vt:lpstr>
      <vt:lpstr>Summary of Ratios</vt:lpstr>
      <vt:lpstr>Gas Input Table Summary</vt:lpstr>
      <vt:lpstr>Total Program</vt:lpstr>
      <vt:lpstr>Res .95+% Res Furnace - NEW</vt:lpstr>
      <vt:lpstr>Res .95+% Res Furnace - Replace</vt:lpstr>
      <vt:lpstr>Res Water Heating .67 EF</vt:lpstr>
      <vt:lpstr>Programmable Thermostats</vt:lpstr>
      <vt:lpstr>Comm 95+ Furnace - New</vt:lpstr>
      <vt:lpstr>Comm 95+% Furnace - Replace</vt:lpstr>
      <vt:lpstr>Custom</vt:lpstr>
      <vt:lpstr>Gas Costs</vt:lpstr>
      <vt:lpstr>'Comm 95+ Furnace - New'!Print_Area</vt:lpstr>
      <vt:lpstr>'Comm 95+% Furnace - Replace'!Print_Area</vt:lpstr>
      <vt:lpstr>Custom!Print_Area</vt:lpstr>
      <vt:lpstr>'Database Inputs'!Print_Area</vt:lpstr>
      <vt:lpstr>'Gas Costs'!Print_Area</vt:lpstr>
      <vt:lpstr>'Gas Input Table Summary'!Print_Area</vt:lpstr>
      <vt:lpstr>'Programmable Thermostats'!Print_Area</vt:lpstr>
      <vt:lpstr>'Res .95+% Res Furnace - NEW'!Print_Area</vt:lpstr>
      <vt:lpstr>'Res .95+% Res Furnace - Replace'!Print_Area</vt:lpstr>
      <vt:lpstr>'Res Water Heating .67 EF'!Print_Area</vt:lpstr>
      <vt:lpstr>'Summary 2015'!Print_Area</vt:lpstr>
      <vt:lpstr>'Summary of Ratios'!Print_Area</vt:lpstr>
      <vt:lpstr>'Total Program'!Print_Area</vt:lpstr>
      <vt:lpstr>'Total Program Inputs'!Print_Area</vt:lpstr>
      <vt:lpstr>'Database Inputs'!Print_Titles</vt:lpstr>
      <vt:lpstr>'Gas Input Table Summary'!Print_Titles</vt:lpstr>
      <vt:lpstr>'Summary of Ratios'!Print_Titles</vt:lpstr>
    </vt:vector>
  </TitlesOfParts>
  <Company>Montana Dakota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WBIH</dc:creator>
  <cp:lastModifiedBy>Lashley, Joy  (PUC)</cp:lastModifiedBy>
  <cp:lastPrinted>2016-01-25T13:21:01Z</cp:lastPrinted>
  <dcterms:created xsi:type="dcterms:W3CDTF">2009-02-06T16:17:42Z</dcterms:created>
  <dcterms:modified xsi:type="dcterms:W3CDTF">2016-02-23T20:39:34Z</dcterms:modified>
</cp:coreProperties>
</file>