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A5E3B529-634B-4AB8-8153-EBAA552C2F06}" xr6:coauthVersionLast="47" xr6:coauthVersionMax="47" xr10:uidLastSave="{00000000-0000-0000-0000-000000000000}"/>
  <bookViews>
    <workbookView xWindow="0" yWindow="0" windowWidth="23040" windowHeight="13680" tabRatio="893" xr2:uid="{B08B8EE0-A4F0-47DC-B6E9-36180BB20CB4}"/>
  </bookViews>
  <sheets>
    <sheet name="Table" sheetId="46" r:id="rId1"/>
    <sheet name="Inputs" sheetId="31" r:id="rId2"/>
    <sheet name="AppendixA" sheetId="1" r:id="rId3"/>
    <sheet name="1-ADIT" sheetId="39" r:id="rId4"/>
    <sheet name="1.5-RBAM Summary" sheetId="53" r:id="rId5"/>
    <sheet name="1.5.1a-TCJA RBAM" sheetId="54" r:id="rId6"/>
    <sheet name="1.5.1b-EDIT Remeasure " sheetId="55" r:id="rId7"/>
    <sheet name="1.5.2a-Tax Change RBAM" sheetId="62" r:id="rId8"/>
    <sheet name="1.5.2b-EDIT Remeasure" sheetId="63" r:id="rId9"/>
    <sheet name="1.6-ITAAM Summary" sheetId="58" r:id="rId10"/>
    <sheet name="1.6.1a-TCJA ITAAM" sheetId="59" r:id="rId11"/>
    <sheet name="1.6.2a-Tax Change ITAAM" sheetId="64" r:id="rId12"/>
    <sheet name="2-OtherTaxes" sheetId="3" r:id="rId13"/>
    <sheet name="3-RevenueCredits" sheetId="5" r:id="rId14"/>
    <sheet name="4-Non-EscrowedFunds" sheetId="38" r:id="rId15"/>
    <sheet name="5-CostSupport" sheetId="7" r:id="rId16"/>
    <sheet name="6-WACC" sheetId="34" r:id="rId17"/>
    <sheet name="7-ComStock" sheetId="42" r:id="rId18"/>
    <sheet name="8-PrefStock" sheetId="35" r:id="rId19"/>
    <sheet name="9-LTD" sheetId="36" r:id="rId20"/>
    <sheet name="10 - Depr Rates" sheetId="49" r:id="rId21"/>
    <sheet name="11 - Facilities" sheetId="50" r:id="rId22"/>
    <sheet name="12 - Base Plan Funded Projects" sheetId="52" r:id="rId23"/>
    <sheet name="List of Reference Updates" sheetId="60" r:id="rId24"/>
  </sheets>
  <definedNames>
    <definedName name="_p.choice" localSheetId="5">#REF!</definedName>
    <definedName name="_p.choice" localSheetId="6">#REF!</definedName>
    <definedName name="_p.choice" localSheetId="7">#REF!</definedName>
    <definedName name="_p.choice" localSheetId="8">#REF!</definedName>
    <definedName name="_p.choice" localSheetId="4">#REF!</definedName>
    <definedName name="_p.choice" localSheetId="10">#REF!</definedName>
    <definedName name="_p.choice" localSheetId="11">#REF!</definedName>
    <definedName name="_p.choice" localSheetId="9">#REF!</definedName>
    <definedName name="_p.choice" localSheetId="22">#REF!</definedName>
    <definedName name="_p.choice">#REF!</definedName>
    <definedName name="AA.print" localSheetId="5">#REF!</definedName>
    <definedName name="AA.print" localSheetId="6">#REF!</definedName>
    <definedName name="AA.print" localSheetId="4">#REF!</definedName>
    <definedName name="AA.print" localSheetId="10">#REF!</definedName>
    <definedName name="AA.print" localSheetId="9">#REF!</definedName>
    <definedName name="AA.print" localSheetId="22">#REF!</definedName>
    <definedName name="AA.print">#REF!</definedName>
    <definedName name="AB.print" localSheetId="5">#REF!</definedName>
    <definedName name="AB.print" localSheetId="6">#REF!</definedName>
    <definedName name="AB.print" localSheetId="4">#REF!</definedName>
    <definedName name="AB.print" localSheetId="10">#REF!</definedName>
    <definedName name="AB.print" localSheetId="9">#REF!</definedName>
    <definedName name="AB.print" localSheetId="22">#REF!</definedName>
    <definedName name="AB.print">#REF!</definedName>
    <definedName name="AO.print" localSheetId="5">#REF!</definedName>
    <definedName name="AO.print" localSheetId="6">#REF!</definedName>
    <definedName name="AO.print" localSheetId="4">#REF!</definedName>
    <definedName name="AO.print" localSheetId="10">#REF!</definedName>
    <definedName name="AO.print" localSheetId="9">#REF!</definedName>
    <definedName name="AO.print" localSheetId="22">#REF!</definedName>
    <definedName name="AO.print">#REF!</definedName>
    <definedName name="AOAnalysisPrint" localSheetId="5">#REF!</definedName>
    <definedName name="AOAnalysisPrint" localSheetId="6">#REF!</definedName>
    <definedName name="AOAnalysisPrint" localSheetId="4">#REF!</definedName>
    <definedName name="AOAnalysisPrint" localSheetId="10">#REF!</definedName>
    <definedName name="AOAnalysisPrint" localSheetId="9">#REF!</definedName>
    <definedName name="AOAnalysisPrint" localSheetId="22">#REF!</definedName>
    <definedName name="AOAnalysisPrint">#REF!</definedName>
    <definedName name="AV.FM.1..adjusted..print" localSheetId="5">#REF!</definedName>
    <definedName name="AV.FM.1..adjusted..print" localSheetId="6">#REF!</definedName>
    <definedName name="AV.FM.1..adjusted..print" localSheetId="4">#REF!</definedName>
    <definedName name="AV.FM.1..adjusted..print" localSheetId="10">#REF!</definedName>
    <definedName name="AV.FM.1..adjusted..print" localSheetId="9">#REF!</definedName>
    <definedName name="AV.FM.1..adjusted..print" localSheetId="22">#REF!</definedName>
    <definedName name="AV.FM.1..adjusted..print">#REF!</definedName>
    <definedName name="AV.FM.1.print" localSheetId="5">#REF!</definedName>
    <definedName name="AV.FM.1.print" localSheetId="6">#REF!</definedName>
    <definedName name="AV.FM.1.print" localSheetId="4">#REF!</definedName>
    <definedName name="AV.FM.1.print" localSheetId="10">#REF!</definedName>
    <definedName name="AV.FM.1.print" localSheetId="9">#REF!</definedName>
    <definedName name="AV.FM.1.print" localSheetId="22">#REF!</definedName>
    <definedName name="AV.FM.1.print">#REF!</definedName>
    <definedName name="BA.print" localSheetId="5">#REF!</definedName>
    <definedName name="BA.print" localSheetId="6">#REF!</definedName>
    <definedName name="BA.print" localSheetId="4">#REF!</definedName>
    <definedName name="BA.print" localSheetId="10">#REF!</definedName>
    <definedName name="BA.print" localSheetId="9">#REF!</definedName>
    <definedName name="BA.print" localSheetId="22">#REF!</definedName>
    <definedName name="BA.print">#REF!</definedName>
    <definedName name="BB.print" localSheetId="5">#REF!</definedName>
    <definedName name="BB.print" localSheetId="6">#REF!</definedName>
    <definedName name="BB.print" localSheetId="4">#REF!</definedName>
    <definedName name="BB.print" localSheetId="10">#REF!</definedName>
    <definedName name="BB.print" localSheetId="9">#REF!</definedName>
    <definedName name="BB.print" localSheetId="22">#REF!</definedName>
    <definedName name="BB.print">#REF!</definedName>
    <definedName name="BG.print" localSheetId="5">#REF!</definedName>
    <definedName name="BG.print" localSheetId="6">#REF!</definedName>
    <definedName name="BG.print" localSheetId="4">#REF!</definedName>
    <definedName name="BG.print" localSheetId="10">#REF!</definedName>
    <definedName name="BG.print" localSheetId="9">#REF!</definedName>
    <definedName name="BG.print" localSheetId="22">#REF!</definedName>
    <definedName name="BG.print">#REF!</definedName>
    <definedName name="BK..FM1.Adjusted..print" localSheetId="5">#REF!</definedName>
    <definedName name="BK..FM1.Adjusted..print" localSheetId="6">#REF!</definedName>
    <definedName name="BK..FM1.Adjusted..print" localSheetId="4">#REF!</definedName>
    <definedName name="BK..FM1.Adjusted..print" localSheetId="10">#REF!</definedName>
    <definedName name="BK..FM1.Adjusted..print" localSheetId="9">#REF!</definedName>
    <definedName name="BK..FM1.Adjusted..print" localSheetId="22">#REF!</definedName>
    <definedName name="BK..FM1.Adjusted..print">#REF!</definedName>
    <definedName name="BK..FM1.ROR..print" localSheetId="5">#REF!</definedName>
    <definedName name="BK..FM1.ROR..print" localSheetId="6">#REF!</definedName>
    <definedName name="BK..FM1.ROR..print" localSheetId="4">#REF!</definedName>
    <definedName name="BK..FM1.ROR..print" localSheetId="10">#REF!</definedName>
    <definedName name="BK..FM1.ROR..print" localSheetId="9">#REF!</definedName>
    <definedName name="BK..FM1.ROR..print" localSheetId="22">#REF!</definedName>
    <definedName name="BK..FM1.ROR..print">#REF!</definedName>
    <definedName name="Levelized..FM1.ROR..print" localSheetId="5">#REF!</definedName>
    <definedName name="Levelized..FM1.ROR..print" localSheetId="6">#REF!</definedName>
    <definedName name="Levelized..FM1.ROR..print" localSheetId="4">#REF!</definedName>
    <definedName name="Levelized..FM1.ROR..print" localSheetId="10">#REF!</definedName>
    <definedName name="Levelized..FM1.ROR..print" localSheetId="9">#REF!</definedName>
    <definedName name="Levelized..FM1.ROR..print" localSheetId="22">#REF!</definedName>
    <definedName name="Levelized..FM1.ROR..print">#REF!</definedName>
    <definedName name="Print.selection.print" localSheetId="5">#REF!</definedName>
    <definedName name="Print.selection.print" localSheetId="6">#REF!</definedName>
    <definedName name="Print.selection.print" localSheetId="4">#REF!</definedName>
    <definedName name="Print.selection.print" localSheetId="10">#REF!</definedName>
    <definedName name="Print.selection.print" localSheetId="9">#REF!</definedName>
    <definedName name="Print.selection.print" localSheetId="22">#REF!</definedName>
    <definedName name="Print.selection.print">#REF!</definedName>
    <definedName name="_xlnm.Print_Area" localSheetId="11">'1.6.2a-Tax Change ITAAM'!$A$1:$N$75</definedName>
    <definedName name="_xlnm.Print_Area" localSheetId="9">'1.6-ITAAM Summary'!$A$1:$L$58</definedName>
    <definedName name="_xlnm.Print_Area" localSheetId="20">'10 - Depr Rates'!$A$1:$I$106</definedName>
    <definedName name="_xlnm.Print_Area" localSheetId="21">'11 - Facilities'!$A$1:$O$68</definedName>
    <definedName name="_xlnm.Print_Area" localSheetId="22">'12 - Base Plan Funded Projects'!$A$1:$O$958</definedName>
    <definedName name="_xlnm.Print_Area" localSheetId="13">'3-RevenueCredits'!$A$1:$E$34</definedName>
    <definedName name="_xlnm.Print_Area" localSheetId="15">'5-CostSupport'!$A$2:$M$62</definedName>
    <definedName name="_xlnm.Print_Area" localSheetId="16">'6-WACC'!$A$1:$L$53</definedName>
    <definedName name="_xlnm.Print_Area" localSheetId="2">AppendixA!$A$1:$H$280</definedName>
    <definedName name="_xlnm.Print_Area" localSheetId="1">Inputs!$A$1:$F$415</definedName>
    <definedName name="_xlnm.Print_Area" localSheetId="0">Table!$A$1:$B$30</definedName>
    <definedName name="solver_adj" localSheetId="2" hidden="1">AppendixA!#REF!</definedName>
    <definedName name="solver_cvg" localSheetId="2" hidden="1">0.0001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AppendixA!#REF!</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3</definedName>
    <definedName name="solver_val" localSheetId="2" hidden="1">981598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1" l="1"/>
  <c r="H50" i="1" l="1"/>
  <c r="D72" i="31" l="1"/>
  <c r="D71" i="31"/>
  <c r="H62" i="59"/>
  <c r="E14" i="54"/>
  <c r="E48" i="54"/>
  <c r="O14" i="54"/>
  <c r="D38" i="31" l="1"/>
  <c r="O56" i="50"/>
  <c r="D53" i="31" l="1"/>
  <c r="D52" i="31"/>
  <c r="D51" i="31"/>
  <c r="D252" i="31"/>
  <c r="D250" i="31"/>
  <c r="D244" i="31"/>
  <c r="D236" i="31"/>
  <c r="D182" i="31" l="1"/>
  <c r="D181" i="31"/>
  <c r="D166" i="31"/>
  <c r="D165" i="31"/>
  <c r="D121" i="31" l="1"/>
  <c r="D117" i="31"/>
  <c r="C56" i="50"/>
  <c r="D56" i="50"/>
  <c r="E56" i="50"/>
  <c r="F56" i="50"/>
  <c r="G56" i="50"/>
  <c r="H56" i="50"/>
  <c r="I56" i="50"/>
  <c r="J56" i="50"/>
  <c r="K56" i="50"/>
  <c r="L56" i="50"/>
  <c r="D112" i="31" s="1"/>
  <c r="M56" i="50"/>
  <c r="D113" i="31" s="1"/>
  <c r="N56" i="50"/>
  <c r="D120" i="31"/>
  <c r="L73" i="50"/>
  <c r="D109" i="31" l="1"/>
  <c r="D75" i="31"/>
  <c r="D74" i="31"/>
  <c r="D50" i="31"/>
  <c r="D41" i="31"/>
  <c r="D40" i="31"/>
  <c r="D39" i="31"/>
  <c r="L935" i="52" l="1"/>
  <c r="L908" i="52"/>
  <c r="L866" i="52"/>
  <c r="L839" i="52"/>
  <c r="L797" i="52"/>
  <c r="L770" i="52"/>
  <c r="L728" i="52"/>
  <c r="L701" i="52"/>
  <c r="L659" i="52"/>
  <c r="L632" i="52"/>
  <c r="L590" i="52"/>
  <c r="L563" i="52"/>
  <c r="L521" i="52"/>
  <c r="L494" i="52"/>
  <c r="L452" i="52"/>
  <c r="L425" i="52"/>
  <c r="L383" i="52"/>
  <c r="L356" i="52"/>
  <c r="L314" i="52"/>
  <c r="L287" i="52"/>
  <c r="L245" i="52"/>
  <c r="L218" i="52"/>
  <c r="L176" i="52" l="1"/>
  <c r="L149" i="52"/>
  <c r="K19" i="38" l="1"/>
  <c r="B8" i="52" l="1"/>
  <c r="D57" i="64" l="1"/>
  <c r="D56" i="64"/>
  <c r="D55" i="64"/>
  <c r="D54" i="64"/>
  <c r="D43" i="64"/>
  <c r="D42" i="64"/>
  <c r="D28" i="64"/>
  <c r="D27" i="64"/>
  <c r="D26" i="64"/>
  <c r="D25" i="64"/>
  <c r="D24" i="64"/>
  <c r="D23" i="64"/>
  <c r="D22" i="64"/>
  <c r="D21" i="64"/>
  <c r="D20" i="64"/>
  <c r="D19" i="64"/>
  <c r="D9" i="64"/>
  <c r="D8" i="64"/>
  <c r="D57" i="62"/>
  <c r="D56" i="62"/>
  <c r="D55" i="62"/>
  <c r="D54" i="62"/>
  <c r="D43" i="62"/>
  <c r="D42" i="62"/>
  <c r="D28" i="62"/>
  <c r="D27" i="62"/>
  <c r="D26" i="62"/>
  <c r="D25" i="62"/>
  <c r="D24" i="62"/>
  <c r="D23" i="62"/>
  <c r="D22" i="62"/>
  <c r="D21" i="62"/>
  <c r="D20" i="62"/>
  <c r="D19" i="62"/>
  <c r="D9" i="62"/>
  <c r="D8" i="62"/>
  <c r="E64" i="64"/>
  <c r="E35" i="64"/>
  <c r="B2" i="64"/>
  <c r="J80" i="63"/>
  <c r="E69" i="63"/>
  <c r="E68" i="63"/>
  <c r="E67" i="63"/>
  <c r="E66" i="63"/>
  <c r="E55" i="63"/>
  <c r="E54" i="63"/>
  <c r="J51" i="63"/>
  <c r="E40" i="63"/>
  <c r="E39" i="63"/>
  <c r="E38" i="63"/>
  <c r="E37" i="63"/>
  <c r="E36" i="63"/>
  <c r="E35" i="63"/>
  <c r="E34" i="63"/>
  <c r="E33" i="63"/>
  <c r="E32" i="63"/>
  <c r="E31" i="63"/>
  <c r="E21" i="63"/>
  <c r="E20" i="63"/>
  <c r="F10" i="63"/>
  <c r="E10" i="63"/>
  <c r="F9" i="63"/>
  <c r="E9" i="63"/>
  <c r="A2" i="63"/>
  <c r="K64" i="62"/>
  <c r="F64" i="62"/>
  <c r="K57" i="62"/>
  <c r="K56" i="62"/>
  <c r="K55" i="62"/>
  <c r="K54" i="62"/>
  <c r="F57" i="62"/>
  <c r="F56" i="62"/>
  <c r="F55" i="62"/>
  <c r="F54" i="62"/>
  <c r="K43" i="62"/>
  <c r="K42" i="62"/>
  <c r="F43" i="62"/>
  <c r="L43" i="62" s="1"/>
  <c r="M43" i="62" s="1"/>
  <c r="M48" i="62" s="1"/>
  <c r="F42" i="62"/>
  <c r="F48" i="62" s="1"/>
  <c r="K35" i="62"/>
  <c r="F35" i="62"/>
  <c r="K28" i="62"/>
  <c r="K27" i="62"/>
  <c r="K26" i="62"/>
  <c r="K25" i="62"/>
  <c r="K24" i="62"/>
  <c r="K23" i="62"/>
  <c r="K22" i="62"/>
  <c r="K21" i="62"/>
  <c r="K20" i="62"/>
  <c r="K19" i="62"/>
  <c r="L19" i="62" s="1"/>
  <c r="F28" i="62"/>
  <c r="F27" i="62"/>
  <c r="L27" i="62" s="1"/>
  <c r="O27" i="62" s="1"/>
  <c r="F26" i="62"/>
  <c r="F25" i="62"/>
  <c r="L25" i="62" s="1"/>
  <c r="F24" i="62"/>
  <c r="L24" i="62" s="1"/>
  <c r="M24" i="62" s="1"/>
  <c r="F23" i="62"/>
  <c r="L23" i="62" s="1"/>
  <c r="P23" i="62" s="1"/>
  <c r="F22" i="62"/>
  <c r="F21" i="62"/>
  <c r="F20" i="62"/>
  <c r="F19" i="62"/>
  <c r="K9" i="62"/>
  <c r="K8" i="62"/>
  <c r="F9" i="62"/>
  <c r="F8" i="62"/>
  <c r="L8" i="62" s="1"/>
  <c r="B2" i="62"/>
  <c r="I62" i="64"/>
  <c r="G62" i="64"/>
  <c r="I48" i="64"/>
  <c r="G48" i="64"/>
  <c r="G36" i="64"/>
  <c r="G65" i="64" s="1"/>
  <c r="F36" i="64"/>
  <c r="F49" i="64" s="1"/>
  <c r="F65" i="64" s="1"/>
  <c r="G33" i="64"/>
  <c r="G15" i="64"/>
  <c r="F15" i="64"/>
  <c r="I14" i="64"/>
  <c r="G14" i="64"/>
  <c r="G16" i="64" s="1"/>
  <c r="B9" i="64"/>
  <c r="B10" i="64" s="1"/>
  <c r="B11" i="64" s="1"/>
  <c r="B12" i="64" s="1"/>
  <c r="B13" i="64" s="1"/>
  <c r="B14" i="64" s="1"/>
  <c r="B15" i="64" s="1"/>
  <c r="B16" i="64" s="1"/>
  <c r="B17" i="64" s="1"/>
  <c r="B18" i="64" s="1"/>
  <c r="B19" i="64" s="1"/>
  <c r="B20" i="64" s="1"/>
  <c r="B21" i="64" s="1"/>
  <c r="B22" i="64" s="1"/>
  <c r="B23" i="64" s="1"/>
  <c r="B24" i="64" s="1"/>
  <c r="B25" i="64" s="1"/>
  <c r="B26" i="64" s="1"/>
  <c r="B27" i="64" s="1"/>
  <c r="B28" i="64" s="1"/>
  <c r="B29" i="64" s="1"/>
  <c r="B30" i="64" s="1"/>
  <c r="B31" i="64" s="1"/>
  <c r="B32" i="64" s="1"/>
  <c r="B33" i="64" s="1"/>
  <c r="B34" i="64" s="1"/>
  <c r="B35" i="64" s="1"/>
  <c r="B36" i="64" s="1"/>
  <c r="B37" i="64" s="1"/>
  <c r="B38" i="64" s="1"/>
  <c r="B39" i="64" s="1"/>
  <c r="B40" i="64" s="1"/>
  <c r="B41" i="64" s="1"/>
  <c r="B42" i="64" s="1"/>
  <c r="B43" i="64" s="1"/>
  <c r="B44" i="64" s="1"/>
  <c r="B45" i="64" s="1"/>
  <c r="B46" i="64" s="1"/>
  <c r="B47" i="64" s="1"/>
  <c r="B48" i="64" s="1"/>
  <c r="B49" i="64" s="1"/>
  <c r="B50" i="64" s="1"/>
  <c r="B51" i="64" s="1"/>
  <c r="B52" i="64" s="1"/>
  <c r="B53" i="64" s="1"/>
  <c r="B54" i="64" s="1"/>
  <c r="B55" i="64" s="1"/>
  <c r="B56" i="64" s="1"/>
  <c r="B57" i="64" s="1"/>
  <c r="B58" i="64" s="1"/>
  <c r="B59" i="64" s="1"/>
  <c r="B60" i="64" s="1"/>
  <c r="B61" i="64" s="1"/>
  <c r="B62" i="64" s="1"/>
  <c r="B63" i="64" s="1"/>
  <c r="B64" i="64" s="1"/>
  <c r="B65" i="64" s="1"/>
  <c r="B66" i="64" s="1"/>
  <c r="B67" i="64" s="1"/>
  <c r="B68" i="64" s="1"/>
  <c r="B69" i="64" s="1"/>
  <c r="B70" i="64" s="1"/>
  <c r="B71" i="64" s="1"/>
  <c r="B72" i="64" s="1"/>
  <c r="I74" i="63"/>
  <c r="H74" i="63"/>
  <c r="I60" i="63"/>
  <c r="H60" i="63"/>
  <c r="H78" i="63" s="1"/>
  <c r="I45" i="63"/>
  <c r="H45" i="63"/>
  <c r="I26" i="63"/>
  <c r="H26" i="63"/>
  <c r="B22" i="63"/>
  <c r="B23" i="63" s="1"/>
  <c r="B24" i="63" s="1"/>
  <c r="B25" i="63" s="1"/>
  <c r="B26" i="63" s="1"/>
  <c r="B27" i="63" s="1"/>
  <c r="B28" i="63" s="1"/>
  <c r="B29" i="63" s="1"/>
  <c r="B30" i="63" s="1"/>
  <c r="B31" i="63" s="1"/>
  <c r="B32" i="63" s="1"/>
  <c r="B33" i="63" s="1"/>
  <c r="B34" i="63" s="1"/>
  <c r="B35" i="63" s="1"/>
  <c r="B36" i="63" s="1"/>
  <c r="B37" i="63" s="1"/>
  <c r="B38" i="63" s="1"/>
  <c r="B39" i="63" s="1"/>
  <c r="B40" i="63" s="1"/>
  <c r="B41" i="63" s="1"/>
  <c r="B42" i="63" s="1"/>
  <c r="B43" i="63" s="1"/>
  <c r="B44" i="63" s="1"/>
  <c r="B45" i="63" s="1"/>
  <c r="B46" i="63" s="1"/>
  <c r="B47" i="63" s="1"/>
  <c r="B48" i="63" s="1"/>
  <c r="B49" i="63" s="1"/>
  <c r="B50" i="63" s="1"/>
  <c r="B51" i="63" s="1"/>
  <c r="B52" i="63" s="1"/>
  <c r="B53" i="63" s="1"/>
  <c r="B54" i="63" s="1"/>
  <c r="B55" i="63" s="1"/>
  <c r="B56" i="63" s="1"/>
  <c r="B57" i="63" s="1"/>
  <c r="B58" i="63" s="1"/>
  <c r="B59" i="63" s="1"/>
  <c r="B60" i="63" s="1"/>
  <c r="B61" i="63" s="1"/>
  <c r="B62" i="63" s="1"/>
  <c r="B63" i="63" s="1"/>
  <c r="B64" i="63" s="1"/>
  <c r="B65" i="63" s="1"/>
  <c r="B66" i="63" s="1"/>
  <c r="B67" i="63" s="1"/>
  <c r="B68" i="63" s="1"/>
  <c r="B69" i="63" s="1"/>
  <c r="B70" i="63" s="1"/>
  <c r="B71" i="63" s="1"/>
  <c r="B72" i="63" s="1"/>
  <c r="B73" i="63" s="1"/>
  <c r="B74" i="63" s="1"/>
  <c r="B75" i="63" s="1"/>
  <c r="B76" i="63" s="1"/>
  <c r="B77" i="63" s="1"/>
  <c r="B78" i="63" s="1"/>
  <c r="B79" i="63" s="1"/>
  <c r="B80" i="63" s="1"/>
  <c r="B81" i="63" s="1"/>
  <c r="B82" i="63" s="1"/>
  <c r="B83" i="63" s="1"/>
  <c r="B84" i="63" s="1"/>
  <c r="B85" i="63" s="1"/>
  <c r="B86" i="63" s="1"/>
  <c r="B87" i="63" s="1"/>
  <c r="B88" i="63" s="1"/>
  <c r="B89" i="63" s="1"/>
  <c r="B90" i="63" s="1"/>
  <c r="B21" i="63"/>
  <c r="P62" i="62"/>
  <c r="N62" i="62"/>
  <c r="J62" i="62"/>
  <c r="I62" i="62"/>
  <c r="L60" i="62"/>
  <c r="L59" i="62"/>
  <c r="L58" i="62"/>
  <c r="L56" i="62"/>
  <c r="M56" i="62" s="1"/>
  <c r="L55" i="62"/>
  <c r="M55" i="62" s="1"/>
  <c r="P48" i="62"/>
  <c r="N48" i="62"/>
  <c r="J48" i="62"/>
  <c r="I48" i="62"/>
  <c r="L46" i="62"/>
  <c r="L45" i="62"/>
  <c r="L44" i="62"/>
  <c r="N33" i="62"/>
  <c r="J33" i="62"/>
  <c r="I33" i="62"/>
  <c r="L31" i="62"/>
  <c r="L30" i="62"/>
  <c r="L29" i="62"/>
  <c r="L28" i="62"/>
  <c r="M28" i="62" s="1"/>
  <c r="L22" i="62"/>
  <c r="O22" i="62" s="1"/>
  <c r="N15" i="62"/>
  <c r="N36" i="62" s="1"/>
  <c r="M15" i="62"/>
  <c r="M36" i="62" s="1"/>
  <c r="P14" i="62"/>
  <c r="N14" i="62"/>
  <c r="N16" i="62" s="1"/>
  <c r="J14" i="62"/>
  <c r="I14" i="62"/>
  <c r="L12" i="62"/>
  <c r="L10" i="62"/>
  <c r="L9" i="62"/>
  <c r="M9" i="62" s="1"/>
  <c r="M14" i="62" s="1"/>
  <c r="B9" i="62"/>
  <c r="B10" i="62" s="1"/>
  <c r="B11" i="62" s="1"/>
  <c r="B12" i="62" s="1"/>
  <c r="B13" i="62" s="1"/>
  <c r="B14" i="62" s="1"/>
  <c r="B15" i="62" s="1"/>
  <c r="B16" i="62" s="1"/>
  <c r="B17" i="62" s="1"/>
  <c r="B18" i="62" s="1"/>
  <c r="B19" i="62" s="1"/>
  <c r="B20" i="62" s="1"/>
  <c r="B21" i="62" s="1"/>
  <c r="B22" i="62" s="1"/>
  <c r="B23" i="62" s="1"/>
  <c r="B24" i="62" s="1"/>
  <c r="B25" i="62" s="1"/>
  <c r="B26" i="62" s="1"/>
  <c r="B27" i="62" s="1"/>
  <c r="B28" i="62" s="1"/>
  <c r="B29" i="62" s="1"/>
  <c r="B30" i="62" s="1"/>
  <c r="B31" i="62" s="1"/>
  <c r="B32" i="62" s="1"/>
  <c r="B33" i="62" s="1"/>
  <c r="B34" i="62" s="1"/>
  <c r="B35" i="62" s="1"/>
  <c r="B36" i="62" s="1"/>
  <c r="B37" i="62" s="1"/>
  <c r="B38" i="62" s="1"/>
  <c r="B39" i="62" s="1"/>
  <c r="B40" i="62" s="1"/>
  <c r="B41" i="62" s="1"/>
  <c r="B42" i="62" s="1"/>
  <c r="B43" i="62" s="1"/>
  <c r="B44" i="62" s="1"/>
  <c r="B45" i="62" s="1"/>
  <c r="B46" i="62" s="1"/>
  <c r="B47" i="62" s="1"/>
  <c r="B48" i="62" s="1"/>
  <c r="B49" i="62" s="1"/>
  <c r="B50" i="62" s="1"/>
  <c r="B51" i="62" s="1"/>
  <c r="B52" i="62" s="1"/>
  <c r="B53" i="62" s="1"/>
  <c r="B54" i="62" s="1"/>
  <c r="B55" i="62" s="1"/>
  <c r="B56" i="62" s="1"/>
  <c r="B57" i="62" s="1"/>
  <c r="B58" i="62" s="1"/>
  <c r="B59" i="62" s="1"/>
  <c r="B60" i="62" s="1"/>
  <c r="B61" i="62" s="1"/>
  <c r="B62" i="62" s="1"/>
  <c r="B63" i="62" s="1"/>
  <c r="B64" i="62" s="1"/>
  <c r="B65" i="62" s="1"/>
  <c r="B66" i="62" s="1"/>
  <c r="B67" i="62" s="1"/>
  <c r="B68" i="62" s="1"/>
  <c r="B69" i="62" s="1"/>
  <c r="B70" i="62" s="1"/>
  <c r="B71" i="62" s="1"/>
  <c r="B72" i="62" s="1"/>
  <c r="B73" i="62" s="1"/>
  <c r="B74" i="62" s="1"/>
  <c r="B75" i="62" s="1"/>
  <c r="B76" i="62" s="1"/>
  <c r="B77" i="62" s="1"/>
  <c r="B78" i="62" s="1"/>
  <c r="K14" i="62"/>
  <c r="F14" i="62"/>
  <c r="F11" i="63" l="1"/>
  <c r="F13" i="63" s="1"/>
  <c r="F14" i="63" s="1"/>
  <c r="E11" i="63"/>
  <c r="N50" i="62"/>
  <c r="I49" i="63"/>
  <c r="K48" i="62"/>
  <c r="E74" i="63"/>
  <c r="M16" i="62"/>
  <c r="I78" i="63"/>
  <c r="K62" i="62"/>
  <c r="H49" i="63"/>
  <c r="N49" i="62"/>
  <c r="K33" i="62"/>
  <c r="L20" i="62"/>
  <c r="O20" i="62" s="1"/>
  <c r="O33" i="62" s="1"/>
  <c r="L26" i="62"/>
  <c r="L57" i="62"/>
  <c r="M57" i="62" s="1"/>
  <c r="L21" i="62"/>
  <c r="P21" i="62" s="1"/>
  <c r="P33" i="62" s="1"/>
  <c r="L54" i="62"/>
  <c r="O54" i="62" s="1"/>
  <c r="O62" i="62" s="1"/>
  <c r="M33" i="62"/>
  <c r="M37" i="62" s="1"/>
  <c r="G66" i="64"/>
  <c r="G37" i="64"/>
  <c r="G49" i="64"/>
  <c r="G50" i="64" s="1"/>
  <c r="E13" i="63"/>
  <c r="F32" i="63" s="1"/>
  <c r="G32" i="63" s="1"/>
  <c r="J32" i="63" s="1"/>
  <c r="E20" i="62" s="1"/>
  <c r="G20" i="62" s="1"/>
  <c r="H20" i="62" s="1"/>
  <c r="E20" i="64" s="1"/>
  <c r="H20" i="64" s="1"/>
  <c r="E60" i="63"/>
  <c r="E26" i="63"/>
  <c r="E45" i="63"/>
  <c r="K34" i="62"/>
  <c r="L14" i="62"/>
  <c r="N37" i="62"/>
  <c r="K63" i="62"/>
  <c r="M62" i="62"/>
  <c r="F33" i="62"/>
  <c r="F34" i="62" s="1"/>
  <c r="L42" i="62"/>
  <c r="M65" i="62"/>
  <c r="M49" i="62"/>
  <c r="M50" i="62" s="1"/>
  <c r="N65" i="62"/>
  <c r="N66" i="62" s="1"/>
  <c r="O8" i="62"/>
  <c r="O14" i="62" s="1"/>
  <c r="F62" i="62"/>
  <c r="F63" i="62" s="1"/>
  <c r="D99" i="31"/>
  <c r="D144" i="31"/>
  <c r="D331" i="31" s="1"/>
  <c r="L33" i="62" l="1"/>
  <c r="L62" i="62"/>
  <c r="F36" i="63"/>
  <c r="G36" i="63" s="1"/>
  <c r="J36" i="63" s="1"/>
  <c r="E24" i="62" s="1"/>
  <c r="G24" i="62" s="1"/>
  <c r="H24" i="62" s="1"/>
  <c r="E24" i="64" s="1"/>
  <c r="F24" i="64" s="1"/>
  <c r="F39" i="63"/>
  <c r="G39" i="63" s="1"/>
  <c r="J39" i="63" s="1"/>
  <c r="E27" i="62" s="1"/>
  <c r="G27" i="62" s="1"/>
  <c r="H27" i="62" s="1"/>
  <c r="E27" i="64" s="1"/>
  <c r="H27" i="64" s="1"/>
  <c r="F31" i="63"/>
  <c r="F69" i="63"/>
  <c r="G69" i="63" s="1"/>
  <c r="J69" i="63" s="1"/>
  <c r="E57" i="62" s="1"/>
  <c r="G57" i="62" s="1"/>
  <c r="H57" i="62" s="1"/>
  <c r="E57" i="64" s="1"/>
  <c r="F57" i="64" s="1"/>
  <c r="F35" i="63"/>
  <c r="G35" i="63" s="1"/>
  <c r="J35" i="63" s="1"/>
  <c r="E23" i="62" s="1"/>
  <c r="G23" i="62" s="1"/>
  <c r="H23" i="62" s="1"/>
  <c r="E23" i="64" s="1"/>
  <c r="I23" i="64" s="1"/>
  <c r="F57" i="63"/>
  <c r="G57" i="63" s="1"/>
  <c r="J57" i="63" s="1"/>
  <c r="E45" i="62" s="1"/>
  <c r="G45" i="62" s="1"/>
  <c r="H45" i="62" s="1"/>
  <c r="E45" i="64" s="1"/>
  <c r="F34" i="63"/>
  <c r="G34" i="63" s="1"/>
  <c r="J34" i="63" s="1"/>
  <c r="E22" i="62" s="1"/>
  <c r="G22" i="62" s="1"/>
  <c r="H22" i="62" s="1"/>
  <c r="E22" i="64" s="1"/>
  <c r="H22" i="64" s="1"/>
  <c r="H33" i="64" s="1"/>
  <c r="F24" i="63"/>
  <c r="G24" i="63" s="1"/>
  <c r="J24" i="63" s="1"/>
  <c r="E12" i="62" s="1"/>
  <c r="G12" i="62" s="1"/>
  <c r="H12" i="62" s="1"/>
  <c r="E12" i="64" s="1"/>
  <c r="F22" i="63"/>
  <c r="G22" i="63" s="1"/>
  <c r="J22" i="63" s="1"/>
  <c r="E10" i="62" s="1"/>
  <c r="G10" i="62" s="1"/>
  <c r="H10" i="62" s="1"/>
  <c r="E10" i="64" s="1"/>
  <c r="F33" i="63"/>
  <c r="G33" i="63" s="1"/>
  <c r="J33" i="63" s="1"/>
  <c r="E21" i="62" s="1"/>
  <c r="G21" i="62" s="1"/>
  <c r="H21" i="62" s="1"/>
  <c r="E21" i="64" s="1"/>
  <c r="I21" i="64" s="1"/>
  <c r="I33" i="64" s="1"/>
  <c r="F66" i="63"/>
  <c r="F37" i="63"/>
  <c r="G37" i="63" s="1"/>
  <c r="J37" i="63" s="1"/>
  <c r="E25" i="62" s="1"/>
  <c r="G25" i="62" s="1"/>
  <c r="H25" i="62" s="1"/>
  <c r="E25" i="64" s="1"/>
  <c r="F20" i="63"/>
  <c r="F71" i="63"/>
  <c r="G71" i="63" s="1"/>
  <c r="J71" i="63" s="1"/>
  <c r="E59" i="62" s="1"/>
  <c r="G59" i="62" s="1"/>
  <c r="H59" i="62" s="1"/>
  <c r="E59" i="64" s="1"/>
  <c r="F42" i="63"/>
  <c r="G42" i="63" s="1"/>
  <c r="J42" i="63" s="1"/>
  <c r="E30" i="62" s="1"/>
  <c r="G30" i="62" s="1"/>
  <c r="H30" i="62" s="1"/>
  <c r="E30" i="64" s="1"/>
  <c r="F58" i="63"/>
  <c r="G58" i="63" s="1"/>
  <c r="J58" i="63" s="1"/>
  <c r="E46" i="62" s="1"/>
  <c r="G46" i="62" s="1"/>
  <c r="H46" i="62" s="1"/>
  <c r="E46" i="64" s="1"/>
  <c r="F56" i="63"/>
  <c r="G56" i="63" s="1"/>
  <c r="J56" i="63" s="1"/>
  <c r="E44" i="62" s="1"/>
  <c r="G44" i="62" s="1"/>
  <c r="H44" i="62" s="1"/>
  <c r="E44" i="64" s="1"/>
  <c r="F23" i="63"/>
  <c r="G23" i="63" s="1"/>
  <c r="J23" i="63" s="1"/>
  <c r="E11" i="62" s="1"/>
  <c r="G11" i="62" s="1"/>
  <c r="H11" i="62" s="1"/>
  <c r="E11" i="64" s="1"/>
  <c r="E14" i="63"/>
  <c r="F72" i="63"/>
  <c r="G72" i="63" s="1"/>
  <c r="J72" i="63" s="1"/>
  <c r="E60" i="62" s="1"/>
  <c r="G60" i="62" s="1"/>
  <c r="H60" i="62" s="1"/>
  <c r="E60" i="64" s="1"/>
  <c r="F70" i="63"/>
  <c r="G70" i="63" s="1"/>
  <c r="J70" i="63" s="1"/>
  <c r="E58" i="62" s="1"/>
  <c r="G58" i="62" s="1"/>
  <c r="H58" i="62" s="1"/>
  <c r="E58" i="64" s="1"/>
  <c r="F58" i="64" s="1"/>
  <c r="F43" i="63"/>
  <c r="G43" i="63" s="1"/>
  <c r="J43" i="63" s="1"/>
  <c r="E31" i="62" s="1"/>
  <c r="G31" i="62" s="1"/>
  <c r="H31" i="62" s="1"/>
  <c r="E31" i="64" s="1"/>
  <c r="F41" i="63"/>
  <c r="G41" i="63" s="1"/>
  <c r="J41" i="63" s="1"/>
  <c r="E29" i="62" s="1"/>
  <c r="G29" i="62" s="1"/>
  <c r="H29" i="62" s="1"/>
  <c r="E29" i="64" s="1"/>
  <c r="F38" i="63"/>
  <c r="G38" i="63" s="1"/>
  <c r="J38" i="63" s="1"/>
  <c r="E26" i="62" s="1"/>
  <c r="G26" i="62" s="1"/>
  <c r="H26" i="62" s="1"/>
  <c r="E26" i="64" s="1"/>
  <c r="G31" i="63"/>
  <c r="F68" i="63"/>
  <c r="G68" i="63" s="1"/>
  <c r="J68" i="63" s="1"/>
  <c r="E56" i="62" s="1"/>
  <c r="G56" i="62" s="1"/>
  <c r="H56" i="62" s="1"/>
  <c r="E56" i="64" s="1"/>
  <c r="F56" i="64" s="1"/>
  <c r="F67" i="63"/>
  <c r="G67" i="63" s="1"/>
  <c r="J67" i="63" s="1"/>
  <c r="E55" i="62" s="1"/>
  <c r="G55" i="62" s="1"/>
  <c r="H55" i="62" s="1"/>
  <c r="E55" i="64" s="1"/>
  <c r="F55" i="64" s="1"/>
  <c r="F54" i="63"/>
  <c r="F55" i="63"/>
  <c r="G55" i="63" s="1"/>
  <c r="J55" i="63" s="1"/>
  <c r="E43" i="62" s="1"/>
  <c r="G43" i="62" s="1"/>
  <c r="H43" i="62" s="1"/>
  <c r="E43" i="64" s="1"/>
  <c r="F43" i="64" s="1"/>
  <c r="F48" i="64" s="1"/>
  <c r="F50" i="64" s="1"/>
  <c r="F21" i="63"/>
  <c r="G21" i="63" s="1"/>
  <c r="J21" i="63" s="1"/>
  <c r="E9" i="62" s="1"/>
  <c r="G9" i="62" s="1"/>
  <c r="H9" i="62" s="1"/>
  <c r="E9" i="64" s="1"/>
  <c r="F9" i="64" s="1"/>
  <c r="F14" i="64" s="1"/>
  <c r="F16" i="64" s="1"/>
  <c r="F40" i="63"/>
  <c r="G40" i="63" s="1"/>
  <c r="J40" i="63" s="1"/>
  <c r="E28" i="62" s="1"/>
  <c r="G28" i="62" s="1"/>
  <c r="H28" i="62" s="1"/>
  <c r="E28" i="64" s="1"/>
  <c r="F28" i="64" s="1"/>
  <c r="L48" i="62"/>
  <c r="L63" i="62" s="1"/>
  <c r="O42" i="62"/>
  <c r="O48" i="62" s="1"/>
  <c r="L34" i="62"/>
  <c r="M66" i="62"/>
  <c r="F62" i="64" l="1"/>
  <c r="F66" i="64" s="1"/>
  <c r="F45" i="63"/>
  <c r="F33" i="64"/>
  <c r="F37" i="64" s="1"/>
  <c r="G20" i="63"/>
  <c r="F26" i="63"/>
  <c r="F74" i="63"/>
  <c r="G66" i="63"/>
  <c r="G45" i="63"/>
  <c r="J31" i="63"/>
  <c r="F60" i="63"/>
  <c r="G54" i="63"/>
  <c r="J45" i="63" l="1"/>
  <c r="E19" i="62"/>
  <c r="G74" i="63"/>
  <c r="J66" i="63"/>
  <c r="J54" i="63"/>
  <c r="G60" i="63"/>
  <c r="G78" i="63" s="1"/>
  <c r="J20" i="63"/>
  <c r="G26" i="63"/>
  <c r="G49" i="63" s="1"/>
  <c r="J74" i="63" l="1"/>
  <c r="E54" i="62"/>
  <c r="J26" i="63"/>
  <c r="J49" i="63" s="1"/>
  <c r="E8" i="62"/>
  <c r="J60" i="63"/>
  <c r="J78" i="63" s="1"/>
  <c r="E42" i="62"/>
  <c r="G19" i="62"/>
  <c r="E33" i="62"/>
  <c r="L219" i="52" l="1"/>
  <c r="L771" i="52"/>
  <c r="L426" i="52"/>
  <c r="L564" i="52"/>
  <c r="L495" i="52"/>
  <c r="L150" i="52"/>
  <c r="L633" i="52"/>
  <c r="L288" i="52"/>
  <c r="L840" i="52"/>
  <c r="L909" i="52"/>
  <c r="L702" i="52"/>
  <c r="L357" i="52"/>
  <c r="L772" i="52"/>
  <c r="L634" i="52"/>
  <c r="L703" i="52"/>
  <c r="L358" i="52"/>
  <c r="L427" i="52"/>
  <c r="L496" i="52"/>
  <c r="L220" i="52"/>
  <c r="L565" i="52"/>
  <c r="L151" i="52"/>
  <c r="L841" i="52"/>
  <c r="L910" i="52"/>
  <c r="L289" i="52"/>
  <c r="H19" i="62"/>
  <c r="G33" i="62"/>
  <c r="G42" i="62"/>
  <c r="E48" i="62"/>
  <c r="G8" i="62"/>
  <c r="E14" i="62"/>
  <c r="E62" i="62"/>
  <c r="G54" i="62"/>
  <c r="H210" i="1"/>
  <c r="H209" i="1"/>
  <c r="H208" i="1"/>
  <c r="L911" i="52" l="1"/>
  <c r="L912" i="52" s="1"/>
  <c r="L497" i="52"/>
  <c r="L498" i="52" s="1"/>
  <c r="L842" i="52"/>
  <c r="L843" i="52" s="1"/>
  <c r="L428" i="52"/>
  <c r="L429" i="52" s="1"/>
  <c r="L290" i="52"/>
  <c r="L291" i="52" s="1"/>
  <c r="L359" i="52"/>
  <c r="L360" i="52" s="1"/>
  <c r="L635" i="52"/>
  <c r="L636" i="52" s="1"/>
  <c r="L773" i="52"/>
  <c r="L774" i="52" s="1"/>
  <c r="L704" i="52"/>
  <c r="L705" i="52" s="1"/>
  <c r="L566" i="52"/>
  <c r="L567" i="52" s="1"/>
  <c r="L221" i="52"/>
  <c r="L222" i="52" s="1"/>
  <c r="G62" i="62"/>
  <c r="H54" i="62"/>
  <c r="H8" i="62"/>
  <c r="G14" i="62"/>
  <c r="E63" i="62"/>
  <c r="G48" i="62"/>
  <c r="H42" i="62"/>
  <c r="H33" i="62"/>
  <c r="E19" i="64"/>
  <c r="E33" i="64" s="1"/>
  <c r="F49" i="39"/>
  <c r="E49" i="39"/>
  <c r="F43" i="39"/>
  <c r="F42" i="39"/>
  <c r="F41" i="39"/>
  <c r="E43" i="39"/>
  <c r="E42" i="39"/>
  <c r="E41" i="39"/>
  <c r="F36" i="39"/>
  <c r="E36" i="39"/>
  <c r="F30" i="39"/>
  <c r="F29" i="39"/>
  <c r="E30" i="39"/>
  <c r="E29" i="39"/>
  <c r="H14" i="62" l="1"/>
  <c r="E8" i="64"/>
  <c r="H48" i="62"/>
  <c r="E42" i="64"/>
  <c r="H62" i="62"/>
  <c r="E54" i="64"/>
  <c r="E64" i="59"/>
  <c r="E35" i="59"/>
  <c r="E48" i="58"/>
  <c r="E26" i="58"/>
  <c r="H54" i="64" l="1"/>
  <c r="H62" i="64" s="1"/>
  <c r="E62" i="64"/>
  <c r="H42" i="64"/>
  <c r="H48" i="64" s="1"/>
  <c r="E48" i="64"/>
  <c r="E63" i="64" s="1"/>
  <c r="H8" i="64"/>
  <c r="H14" i="64" s="1"/>
  <c r="E14" i="64"/>
  <c r="E34" i="64" s="1"/>
  <c r="J51" i="55"/>
  <c r="J80" i="55"/>
  <c r="E67" i="55"/>
  <c r="E68" i="55"/>
  <c r="E69" i="55"/>
  <c r="E66" i="55"/>
  <c r="E55" i="55"/>
  <c r="E54" i="55"/>
  <c r="E32" i="55"/>
  <c r="E33" i="55"/>
  <c r="E34" i="55"/>
  <c r="E35" i="55"/>
  <c r="E36" i="55"/>
  <c r="E37" i="55"/>
  <c r="E38" i="55"/>
  <c r="E39" i="55"/>
  <c r="E40" i="55"/>
  <c r="E31" i="55"/>
  <c r="E21" i="55"/>
  <c r="E20" i="55"/>
  <c r="F10" i="55"/>
  <c r="F9" i="55"/>
  <c r="E10" i="55"/>
  <c r="E9" i="55"/>
  <c r="K64" i="54"/>
  <c r="F64" i="54"/>
  <c r="K57" i="54"/>
  <c r="K56" i="54"/>
  <c r="K55" i="54"/>
  <c r="F57" i="54"/>
  <c r="F56" i="54"/>
  <c r="F55" i="54"/>
  <c r="K54" i="54"/>
  <c r="F54" i="54"/>
  <c r="K43" i="54"/>
  <c r="K42" i="54"/>
  <c r="F43" i="54"/>
  <c r="F42" i="54"/>
  <c r="K35" i="54"/>
  <c r="F35" i="54"/>
  <c r="K28" i="54"/>
  <c r="K27" i="54"/>
  <c r="K26" i="54"/>
  <c r="K25" i="54"/>
  <c r="K24" i="54"/>
  <c r="K23" i="54"/>
  <c r="K22" i="54"/>
  <c r="K21" i="54"/>
  <c r="K20" i="54"/>
  <c r="K19" i="54"/>
  <c r="F28" i="54"/>
  <c r="F27" i="54"/>
  <c r="F26" i="54"/>
  <c r="F25" i="54"/>
  <c r="F24" i="54"/>
  <c r="F23" i="54"/>
  <c r="F22" i="54"/>
  <c r="F21" i="54"/>
  <c r="F20" i="54"/>
  <c r="F19" i="54"/>
  <c r="L11" i="54"/>
  <c r="F9" i="54"/>
  <c r="K9" i="54"/>
  <c r="K8" i="54"/>
  <c r="F8" i="54"/>
  <c r="K52" i="53"/>
  <c r="F52" i="53"/>
  <c r="K50" i="53"/>
  <c r="F50" i="53"/>
  <c r="K26" i="53"/>
  <c r="K28" i="53"/>
  <c r="F28" i="53"/>
  <c r="F26" i="53"/>
  <c r="D57" i="59" l="1"/>
  <c r="D56" i="59"/>
  <c r="D55" i="59"/>
  <c r="D54" i="59"/>
  <c r="D43" i="59"/>
  <c r="D42" i="59"/>
  <c r="D28" i="59"/>
  <c r="D27" i="59"/>
  <c r="D26" i="59"/>
  <c r="D25" i="59"/>
  <c r="D24" i="59"/>
  <c r="D23" i="59"/>
  <c r="D22" i="59"/>
  <c r="D21" i="59"/>
  <c r="D20" i="59"/>
  <c r="D19" i="59"/>
  <c r="D9" i="59"/>
  <c r="D8" i="59"/>
  <c r="D57" i="54"/>
  <c r="D56" i="54"/>
  <c r="D55" i="54"/>
  <c r="D54" i="54"/>
  <c r="D43" i="54"/>
  <c r="D42" i="54"/>
  <c r="D28" i="54"/>
  <c r="D27" i="54"/>
  <c r="D26" i="54"/>
  <c r="D25" i="54"/>
  <c r="D24" i="54"/>
  <c r="D23" i="54"/>
  <c r="D22" i="54"/>
  <c r="D21" i="54"/>
  <c r="D20" i="54"/>
  <c r="D19" i="54"/>
  <c r="D9" i="54"/>
  <c r="D8" i="54"/>
  <c r="J32" i="53"/>
  <c r="J17" i="53"/>
  <c r="J24" i="53" s="1"/>
  <c r="B2" i="59"/>
  <c r="B2" i="58"/>
  <c r="E60" i="55"/>
  <c r="E45" i="55"/>
  <c r="A2" i="55"/>
  <c r="L55" i="54"/>
  <c r="M55" i="54" s="1"/>
  <c r="L54" i="54"/>
  <c r="O54" i="54" s="1"/>
  <c r="O62" i="54" s="1"/>
  <c r="F62" i="54"/>
  <c r="F41" i="53" s="1"/>
  <c r="F48" i="53" s="1"/>
  <c r="K33" i="54"/>
  <c r="K17" i="53" s="1"/>
  <c r="K24" i="53" s="1"/>
  <c r="L23" i="54"/>
  <c r="P23" i="54" s="1"/>
  <c r="L9" i="54"/>
  <c r="K14" i="54"/>
  <c r="K8" i="53" s="1"/>
  <c r="K15" i="53" s="1"/>
  <c r="F14" i="54"/>
  <c r="F8" i="53" s="1"/>
  <c r="F15" i="53" s="1"/>
  <c r="B2" i="54"/>
  <c r="B2" i="53"/>
  <c r="I62" i="59"/>
  <c r="G62" i="59"/>
  <c r="I48" i="59"/>
  <c r="G48" i="59"/>
  <c r="G36" i="59"/>
  <c r="G65" i="59" s="1"/>
  <c r="F36" i="59"/>
  <c r="F49" i="59" s="1"/>
  <c r="F65" i="59" s="1"/>
  <c r="G33" i="59"/>
  <c r="G37" i="59" s="1"/>
  <c r="G17" i="58" s="1"/>
  <c r="G24" i="58" s="1"/>
  <c r="G15" i="59"/>
  <c r="F15" i="59"/>
  <c r="I14" i="59"/>
  <c r="G14" i="59"/>
  <c r="B9" i="59"/>
  <c r="B10" i="59" s="1"/>
  <c r="B11" i="59" s="1"/>
  <c r="B12" i="59" s="1"/>
  <c r="B13" i="59" s="1"/>
  <c r="B14" i="59" s="1"/>
  <c r="B15" i="59" s="1"/>
  <c r="B16" i="59" s="1"/>
  <c r="B17" i="59" s="1"/>
  <c r="B18" i="59" s="1"/>
  <c r="B19" i="59" s="1"/>
  <c r="B20" i="59" s="1"/>
  <c r="B21" i="59" s="1"/>
  <c r="B22" i="59" s="1"/>
  <c r="B23" i="59" s="1"/>
  <c r="B24" i="59" s="1"/>
  <c r="B25" i="59" s="1"/>
  <c r="B26" i="59" s="1"/>
  <c r="B27" i="59" s="1"/>
  <c r="B28" i="59" s="1"/>
  <c r="B29" i="59" s="1"/>
  <c r="B30" i="59" s="1"/>
  <c r="B31" i="59" s="1"/>
  <c r="B32" i="59" s="1"/>
  <c r="B33" i="59" s="1"/>
  <c r="B34" i="59" s="1"/>
  <c r="B35" i="59" s="1"/>
  <c r="B36" i="59" s="1"/>
  <c r="B37" i="59" s="1"/>
  <c r="B38" i="59" s="1"/>
  <c r="B39" i="59" s="1"/>
  <c r="B40" i="59" s="1"/>
  <c r="B41" i="59" s="1"/>
  <c r="B42" i="59" s="1"/>
  <c r="B43" i="59" s="1"/>
  <c r="B44" i="59" s="1"/>
  <c r="B45" i="59" s="1"/>
  <c r="B46" i="59" s="1"/>
  <c r="B47" i="59" s="1"/>
  <c r="B48" i="59" s="1"/>
  <c r="B49" i="59" s="1"/>
  <c r="B50" i="59" s="1"/>
  <c r="B51" i="59" s="1"/>
  <c r="B52" i="59" s="1"/>
  <c r="B53" i="59" s="1"/>
  <c r="B54" i="59" s="1"/>
  <c r="B55" i="59" s="1"/>
  <c r="B56" i="59" s="1"/>
  <c r="B57" i="59" s="1"/>
  <c r="B58" i="59" s="1"/>
  <c r="B59" i="59" s="1"/>
  <c r="B60" i="59" s="1"/>
  <c r="B61" i="59" s="1"/>
  <c r="B62" i="59" s="1"/>
  <c r="B63" i="59" s="1"/>
  <c r="B64" i="59" s="1"/>
  <c r="B65" i="59" s="1"/>
  <c r="B66" i="59" s="1"/>
  <c r="B67" i="59" s="1"/>
  <c r="B68" i="59" s="1"/>
  <c r="B69" i="59" s="1"/>
  <c r="B70" i="59" s="1"/>
  <c r="B71" i="59" s="1"/>
  <c r="B72" i="59" s="1"/>
  <c r="J44" i="58"/>
  <c r="J43" i="58"/>
  <c r="J42" i="58"/>
  <c r="J41" i="58"/>
  <c r="J40" i="58"/>
  <c r="J35" i="58"/>
  <c r="J34" i="58"/>
  <c r="J33" i="58"/>
  <c r="J32" i="58"/>
  <c r="J31" i="58"/>
  <c r="J22" i="58"/>
  <c r="J21" i="58"/>
  <c r="J20" i="58"/>
  <c r="J19" i="58"/>
  <c r="J18" i="58"/>
  <c r="J13" i="58"/>
  <c r="J12" i="58"/>
  <c r="J11" i="58"/>
  <c r="J10" i="58"/>
  <c r="J9" i="58"/>
  <c r="B9" i="58"/>
  <c r="B10" i="58" s="1"/>
  <c r="B11" i="58" s="1"/>
  <c r="B12" i="58" s="1"/>
  <c r="B13" i="58" s="1"/>
  <c r="B14" i="58" s="1"/>
  <c r="B15" i="58" s="1"/>
  <c r="B16" i="58" s="1"/>
  <c r="B17" i="58" s="1"/>
  <c r="B18" i="58" s="1"/>
  <c r="B19" i="58" s="1"/>
  <c r="B20" i="58" s="1"/>
  <c r="B21" i="58" s="1"/>
  <c r="B22" i="58" s="1"/>
  <c r="B23" i="58" s="1"/>
  <c r="B24" i="58" s="1"/>
  <c r="B25" i="58" s="1"/>
  <c r="B26" i="58" s="1"/>
  <c r="B27" i="58" s="1"/>
  <c r="B28" i="58" s="1"/>
  <c r="B29" i="58" s="1"/>
  <c r="B30" i="58" s="1"/>
  <c r="B31" i="58" s="1"/>
  <c r="B32" i="58" s="1"/>
  <c r="B33" i="58" s="1"/>
  <c r="B34" i="58" s="1"/>
  <c r="B35" i="58" s="1"/>
  <c r="B36" i="58" s="1"/>
  <c r="B37" i="58" s="1"/>
  <c r="B38" i="58" s="1"/>
  <c r="B39" i="58" s="1"/>
  <c r="B40" i="58" s="1"/>
  <c r="B41" i="58" s="1"/>
  <c r="B42" i="58" s="1"/>
  <c r="B43" i="58" s="1"/>
  <c r="B44" i="58" s="1"/>
  <c r="B45" i="58" s="1"/>
  <c r="B46" i="58" s="1"/>
  <c r="B47" i="58" s="1"/>
  <c r="B48" i="58" s="1"/>
  <c r="B49" i="58" s="1"/>
  <c r="B50" i="58" s="1"/>
  <c r="B51" i="58" s="1"/>
  <c r="B52" i="58" s="1"/>
  <c r="B53" i="58" s="1"/>
  <c r="B54" i="58" s="1"/>
  <c r="B55" i="58" s="1"/>
  <c r="I74" i="55"/>
  <c r="H74" i="55"/>
  <c r="E74" i="55"/>
  <c r="I60" i="55"/>
  <c r="H60" i="55"/>
  <c r="I45" i="55"/>
  <c r="H45" i="55"/>
  <c r="H49" i="55" s="1"/>
  <c r="I26" i="55"/>
  <c r="H26" i="55"/>
  <c r="E26" i="55"/>
  <c r="B21" i="55"/>
  <c r="B22" i="55" s="1"/>
  <c r="B23" i="55" s="1"/>
  <c r="B24" i="55" s="1"/>
  <c r="B25" i="55" s="1"/>
  <c r="B26" i="55" s="1"/>
  <c r="B27" i="55" s="1"/>
  <c r="B28" i="55" s="1"/>
  <c r="B29" i="55" s="1"/>
  <c r="B30" i="55" s="1"/>
  <c r="B31" i="55" s="1"/>
  <c r="B32" i="55" s="1"/>
  <c r="B33" i="55" s="1"/>
  <c r="B34" i="55" s="1"/>
  <c r="B35" i="55" s="1"/>
  <c r="B36" i="55" s="1"/>
  <c r="B37" i="55" s="1"/>
  <c r="B38" i="55" s="1"/>
  <c r="B39" i="55" s="1"/>
  <c r="B40" i="55" s="1"/>
  <c r="B41" i="55" s="1"/>
  <c r="B42" i="55" s="1"/>
  <c r="B43" i="55" s="1"/>
  <c r="B44" i="55" s="1"/>
  <c r="B45" i="55" s="1"/>
  <c r="B46" i="55" s="1"/>
  <c r="B47" i="55" s="1"/>
  <c r="B48" i="55" s="1"/>
  <c r="B49" i="55" s="1"/>
  <c r="B50" i="55" s="1"/>
  <c r="B51" i="55" s="1"/>
  <c r="B52" i="55" s="1"/>
  <c r="B53" i="55" s="1"/>
  <c r="B54" i="55" s="1"/>
  <c r="B55" i="55" s="1"/>
  <c r="B56" i="55" s="1"/>
  <c r="B57" i="55" s="1"/>
  <c r="B58" i="55" s="1"/>
  <c r="B59" i="55" s="1"/>
  <c r="B60" i="55" s="1"/>
  <c r="B61" i="55" s="1"/>
  <c r="B62" i="55" s="1"/>
  <c r="B63" i="55" s="1"/>
  <c r="B64" i="55" s="1"/>
  <c r="B65" i="55" s="1"/>
  <c r="B66" i="55" s="1"/>
  <c r="B67" i="55" s="1"/>
  <c r="B68" i="55" s="1"/>
  <c r="B69" i="55" s="1"/>
  <c r="B70" i="55" s="1"/>
  <c r="B71" i="55" s="1"/>
  <c r="B72" i="55" s="1"/>
  <c r="B73" i="55" s="1"/>
  <c r="B74" i="55" s="1"/>
  <c r="B75" i="55" s="1"/>
  <c r="B76" i="55" s="1"/>
  <c r="B77" i="55" s="1"/>
  <c r="B78" i="55" s="1"/>
  <c r="B79" i="55" s="1"/>
  <c r="B80" i="55" s="1"/>
  <c r="B81" i="55" s="1"/>
  <c r="B82" i="55" s="1"/>
  <c r="B83" i="55" s="1"/>
  <c r="B84" i="55" s="1"/>
  <c r="B85" i="55" s="1"/>
  <c r="B86" i="55" s="1"/>
  <c r="B87" i="55" s="1"/>
  <c r="B88" i="55" s="1"/>
  <c r="B89" i="55" s="1"/>
  <c r="B90" i="55" s="1"/>
  <c r="P62" i="54"/>
  <c r="N62" i="54"/>
  <c r="J62" i="54"/>
  <c r="J41" i="53" s="1"/>
  <c r="J48" i="53" s="1"/>
  <c r="I62" i="54"/>
  <c r="I41" i="53" s="1"/>
  <c r="I48" i="53" s="1"/>
  <c r="L60" i="54"/>
  <c r="L59" i="54"/>
  <c r="L58" i="54"/>
  <c r="L57" i="54"/>
  <c r="M57" i="54" s="1"/>
  <c r="L56" i="54"/>
  <c r="M56" i="54" s="1"/>
  <c r="P48" i="54"/>
  <c r="N48" i="54"/>
  <c r="J48" i="54"/>
  <c r="I48" i="54"/>
  <c r="I32" i="53" s="1"/>
  <c r="I39" i="53" s="1"/>
  <c r="L46" i="54"/>
  <c r="L45" i="54"/>
  <c r="L44" i="54"/>
  <c r="K48" i="54"/>
  <c r="K32" i="53" s="1"/>
  <c r="K39" i="53" s="1"/>
  <c r="N33" i="54"/>
  <c r="J33" i="54"/>
  <c r="I33" i="54"/>
  <c r="I17" i="53" s="1"/>
  <c r="I24" i="53" s="1"/>
  <c r="L31" i="54"/>
  <c r="L30" i="54"/>
  <c r="L29" i="54"/>
  <c r="L28" i="54"/>
  <c r="M28" i="54" s="1"/>
  <c r="L27" i="54"/>
  <c r="O27" i="54" s="1"/>
  <c r="L25" i="54"/>
  <c r="M25" i="54" s="1"/>
  <c r="L24" i="54"/>
  <c r="M24" i="54" s="1"/>
  <c r="L22" i="54"/>
  <c r="O22" i="54" s="1"/>
  <c r="L21" i="54"/>
  <c r="P21" i="54" s="1"/>
  <c r="L20" i="54"/>
  <c r="O20" i="54" s="1"/>
  <c r="L19" i="54"/>
  <c r="N15" i="54"/>
  <c r="N36" i="54" s="1"/>
  <c r="M15" i="54"/>
  <c r="M36" i="54" s="1"/>
  <c r="P14" i="54"/>
  <c r="N14" i="54"/>
  <c r="N16" i="54" s="1"/>
  <c r="N8" i="53" s="1"/>
  <c r="N15" i="53" s="1"/>
  <c r="J14" i="54"/>
  <c r="J8" i="53" s="1"/>
  <c r="J15" i="53" s="1"/>
  <c r="I14" i="54"/>
  <c r="I8" i="53" s="1"/>
  <c r="I15" i="53" s="1"/>
  <c r="L12" i="54"/>
  <c r="L10" i="54"/>
  <c r="B9" i="54"/>
  <c r="B10" i="54" s="1"/>
  <c r="B11" i="54" s="1"/>
  <c r="B12" i="54" s="1"/>
  <c r="B13" i="54" s="1"/>
  <c r="B14" i="54" s="1"/>
  <c r="B15" i="54" s="1"/>
  <c r="B16" i="54" s="1"/>
  <c r="B17" i="54" s="1"/>
  <c r="B18" i="54" s="1"/>
  <c r="B19" i="54" s="1"/>
  <c r="B20" i="54" s="1"/>
  <c r="B21" i="54" s="1"/>
  <c r="B22" i="54" s="1"/>
  <c r="B23" i="54" s="1"/>
  <c r="B24" i="54" s="1"/>
  <c r="B25" i="54" s="1"/>
  <c r="B26" i="54" s="1"/>
  <c r="B27" i="54" s="1"/>
  <c r="B28" i="54" s="1"/>
  <c r="B29" i="54" s="1"/>
  <c r="B30" i="54" s="1"/>
  <c r="B31" i="54" s="1"/>
  <c r="B32" i="54" s="1"/>
  <c r="B33" i="54" s="1"/>
  <c r="B34" i="54" s="1"/>
  <c r="B35" i="54" s="1"/>
  <c r="B36" i="54" s="1"/>
  <c r="B37" i="54" s="1"/>
  <c r="B38" i="54" s="1"/>
  <c r="B39" i="54" s="1"/>
  <c r="B40" i="54" s="1"/>
  <c r="B41" i="54" s="1"/>
  <c r="B42" i="54" s="1"/>
  <c r="B43" i="54" s="1"/>
  <c r="B44" i="54" s="1"/>
  <c r="B45" i="54" s="1"/>
  <c r="B46" i="54" s="1"/>
  <c r="B47" i="54" s="1"/>
  <c r="B48" i="54" s="1"/>
  <c r="B49" i="54" s="1"/>
  <c r="B50" i="54" s="1"/>
  <c r="B51" i="54" s="1"/>
  <c r="B52" i="54" s="1"/>
  <c r="B53" i="54" s="1"/>
  <c r="B54" i="54" s="1"/>
  <c r="B55" i="54" s="1"/>
  <c r="B56" i="54" s="1"/>
  <c r="B57" i="54" s="1"/>
  <c r="B58" i="54" s="1"/>
  <c r="B59" i="54" s="1"/>
  <c r="B60" i="54" s="1"/>
  <c r="B61" i="54" s="1"/>
  <c r="B62" i="54" s="1"/>
  <c r="B63" i="54" s="1"/>
  <c r="B64" i="54" s="1"/>
  <c r="B65" i="54" s="1"/>
  <c r="B66" i="54" s="1"/>
  <c r="B67" i="54" s="1"/>
  <c r="B68" i="54" s="1"/>
  <c r="B69" i="54" s="1"/>
  <c r="B70" i="54" s="1"/>
  <c r="B71" i="54" s="1"/>
  <c r="B72" i="54" s="1"/>
  <c r="B73" i="54" s="1"/>
  <c r="B74" i="54" s="1"/>
  <c r="B75" i="54" s="1"/>
  <c r="B76" i="54" s="1"/>
  <c r="B77" i="54" s="1"/>
  <c r="B78" i="54" s="1"/>
  <c r="Q46" i="53"/>
  <c r="G46" i="53"/>
  <c r="H46" i="53" s="1"/>
  <c r="Q45" i="53"/>
  <c r="G45" i="53"/>
  <c r="H45" i="53" s="1"/>
  <c r="Q44" i="53"/>
  <c r="G44" i="53"/>
  <c r="H44" i="53" s="1"/>
  <c r="Q43" i="53"/>
  <c r="G43" i="53"/>
  <c r="H43" i="53" s="1"/>
  <c r="Q42" i="53"/>
  <c r="G42" i="53"/>
  <c r="H42" i="53" s="1"/>
  <c r="Q37" i="53"/>
  <c r="G37" i="53"/>
  <c r="H37" i="53" s="1"/>
  <c r="Q36" i="53"/>
  <c r="G36" i="53"/>
  <c r="H36" i="53" s="1"/>
  <c r="Q35" i="53"/>
  <c r="G35" i="53"/>
  <c r="H35" i="53" s="1"/>
  <c r="Q34" i="53"/>
  <c r="G34" i="53"/>
  <c r="H34" i="53" s="1"/>
  <c r="Q33" i="53"/>
  <c r="G33" i="53"/>
  <c r="H33" i="53" s="1"/>
  <c r="J39" i="53"/>
  <c r="Q22" i="53"/>
  <c r="G22" i="53"/>
  <c r="H22" i="53" s="1"/>
  <c r="Q21" i="53"/>
  <c r="H21" i="53"/>
  <c r="G21" i="53"/>
  <c r="Q20" i="53"/>
  <c r="G20" i="53"/>
  <c r="H20" i="53" s="1"/>
  <c r="Q19" i="53"/>
  <c r="G19" i="53"/>
  <c r="H19" i="53" s="1"/>
  <c r="Q18" i="53"/>
  <c r="G18" i="53"/>
  <c r="H18" i="53" s="1"/>
  <c r="Q13" i="53"/>
  <c r="G13" i="53"/>
  <c r="H13" i="53" s="1"/>
  <c r="Q12" i="53"/>
  <c r="G12" i="53"/>
  <c r="H12" i="53" s="1"/>
  <c r="Q11" i="53"/>
  <c r="G11" i="53"/>
  <c r="H11" i="53" s="1"/>
  <c r="Q10" i="53"/>
  <c r="G10" i="53"/>
  <c r="H10" i="53" s="1"/>
  <c r="Q9" i="53"/>
  <c r="G9" i="53"/>
  <c r="H9" i="53" s="1"/>
  <c r="B9" i="53"/>
  <c r="B10" i="53" s="1"/>
  <c r="B11" i="53" s="1"/>
  <c r="B12" i="53" s="1"/>
  <c r="B13" i="53" s="1"/>
  <c r="B14" i="53" s="1"/>
  <c r="B15" i="53" s="1"/>
  <c r="B16" i="53" s="1"/>
  <c r="B17" i="53" s="1"/>
  <c r="B18" i="53" s="1"/>
  <c r="B19" i="53" s="1"/>
  <c r="B20" i="53" s="1"/>
  <c r="B21" i="53" s="1"/>
  <c r="B22" i="53" s="1"/>
  <c r="B23" i="53" s="1"/>
  <c r="B24" i="53" s="1"/>
  <c r="B25" i="53" s="1"/>
  <c r="B26" i="53" s="1"/>
  <c r="B27" i="53" s="1"/>
  <c r="B28" i="53" s="1"/>
  <c r="B29" i="53" s="1"/>
  <c r="B30" i="53" s="1"/>
  <c r="B31" i="53" s="1"/>
  <c r="B32" i="53" s="1"/>
  <c r="B33" i="53" s="1"/>
  <c r="B34" i="53" s="1"/>
  <c r="B35" i="53" s="1"/>
  <c r="B36" i="53" s="1"/>
  <c r="B37" i="53" s="1"/>
  <c r="B38" i="53" s="1"/>
  <c r="B39" i="53" s="1"/>
  <c r="B40" i="53" s="1"/>
  <c r="B41" i="53" s="1"/>
  <c r="B42" i="53" s="1"/>
  <c r="B43" i="53" s="1"/>
  <c r="B44" i="53" s="1"/>
  <c r="B45" i="53" s="1"/>
  <c r="B46" i="53" s="1"/>
  <c r="B47" i="53" s="1"/>
  <c r="B48" i="53" s="1"/>
  <c r="B49" i="53" s="1"/>
  <c r="B50" i="53" s="1"/>
  <c r="B51" i="53" s="1"/>
  <c r="B52" i="53" s="1"/>
  <c r="B53" i="53" s="1"/>
  <c r="B54" i="53" s="1"/>
  <c r="B55" i="53" s="1"/>
  <c r="B56" i="53" s="1"/>
  <c r="B57" i="53" s="1"/>
  <c r="B58" i="53" s="1"/>
  <c r="B59" i="53" s="1"/>
  <c r="B60" i="53" s="1"/>
  <c r="I48" i="39"/>
  <c r="J48" i="39"/>
  <c r="K48" i="39"/>
  <c r="G46" i="39"/>
  <c r="G45" i="39"/>
  <c r="G44" i="39"/>
  <c r="I35" i="39"/>
  <c r="K35" i="39"/>
  <c r="G31" i="39"/>
  <c r="G32" i="39"/>
  <c r="G33" i="39"/>
  <c r="F18" i="39"/>
  <c r="F17" i="39"/>
  <c r="F16" i="39"/>
  <c r="F15" i="39"/>
  <c r="F14" i="39"/>
  <c r="F13" i="39"/>
  <c r="F12" i="39"/>
  <c r="F11" i="39"/>
  <c r="F10" i="39"/>
  <c r="E18" i="39"/>
  <c r="E17" i="39"/>
  <c r="E16" i="39"/>
  <c r="E15" i="39"/>
  <c r="E14" i="39"/>
  <c r="E13" i="39"/>
  <c r="E12" i="39"/>
  <c r="E11" i="39"/>
  <c r="E10" i="39"/>
  <c r="F24" i="39"/>
  <c r="E24" i="39"/>
  <c r="F9" i="39"/>
  <c r="E9" i="39"/>
  <c r="I23" i="39"/>
  <c r="H78" i="55" l="1"/>
  <c r="I78" i="55"/>
  <c r="G49" i="59"/>
  <c r="G50" i="59" s="1"/>
  <c r="G30" i="58" s="1"/>
  <c r="G37" i="58" s="1"/>
  <c r="G66" i="59"/>
  <c r="G39" i="58" s="1"/>
  <c r="G46" i="58" s="1"/>
  <c r="N65" i="54"/>
  <c r="N66" i="54" s="1"/>
  <c r="N41" i="53" s="1"/>
  <c r="N48" i="53" s="1"/>
  <c r="M49" i="54"/>
  <c r="N49" i="54"/>
  <c r="N50" i="54" s="1"/>
  <c r="N32" i="53" s="1"/>
  <c r="N39" i="53" s="1"/>
  <c r="I49" i="55"/>
  <c r="G16" i="59"/>
  <c r="G8" i="58" s="1"/>
  <c r="G15" i="58" s="1"/>
  <c r="E35" i="39"/>
  <c r="G29" i="39"/>
  <c r="J29" i="39" s="1"/>
  <c r="J35" i="39" s="1"/>
  <c r="M9" i="54"/>
  <c r="M14" i="54" s="1"/>
  <c r="M16" i="54" s="1"/>
  <c r="M8" i="53" s="1"/>
  <c r="M15" i="53" s="1"/>
  <c r="E11" i="55"/>
  <c r="E13" i="55" s="1"/>
  <c r="F11" i="55"/>
  <c r="F13" i="55" s="1"/>
  <c r="F14" i="55" s="1"/>
  <c r="K34" i="54"/>
  <c r="O19" i="54"/>
  <c r="O33" i="54" s="1"/>
  <c r="P33" i="54"/>
  <c r="M62" i="54"/>
  <c r="N37" i="54"/>
  <c r="N17" i="53" s="1"/>
  <c r="N24" i="53" s="1"/>
  <c r="L8" i="54"/>
  <c r="F33" i="54"/>
  <c r="L42" i="54"/>
  <c r="M65" i="54"/>
  <c r="L43" i="54"/>
  <c r="M43" i="54" s="1"/>
  <c r="M48" i="54" s="1"/>
  <c r="M50" i="54" s="1"/>
  <c r="M32" i="53" s="1"/>
  <c r="L26" i="54"/>
  <c r="M26" i="54" s="1"/>
  <c r="M33" i="54" s="1"/>
  <c r="M37" i="54" s="1"/>
  <c r="L62" i="54"/>
  <c r="L41" i="53" s="1"/>
  <c r="L48" i="53" s="1"/>
  <c r="K62" i="54"/>
  <c r="F48" i="54"/>
  <c r="K25" i="53"/>
  <c r="K27" i="53" s="1"/>
  <c r="G43" i="39"/>
  <c r="H43" i="39" s="1"/>
  <c r="F48" i="39"/>
  <c r="G42" i="39"/>
  <c r="H42" i="39" s="1"/>
  <c r="E48" i="39"/>
  <c r="G41" i="39"/>
  <c r="F35" i="39"/>
  <c r="G30" i="39"/>
  <c r="H30" i="39" s="1"/>
  <c r="H35" i="39" s="1"/>
  <c r="F23" i="39"/>
  <c r="E23" i="39"/>
  <c r="L33" i="54" l="1"/>
  <c r="L17" i="53" s="1"/>
  <c r="L24" i="53" s="1"/>
  <c r="F31" i="55"/>
  <c r="G31" i="55" s="1"/>
  <c r="M17" i="53"/>
  <c r="F34" i="54"/>
  <c r="F17" i="53"/>
  <c r="F24" i="53" s="1"/>
  <c r="F25" i="53" s="1"/>
  <c r="F27" i="53" s="1"/>
  <c r="M39" i="53"/>
  <c r="K63" i="54"/>
  <c r="K41" i="53"/>
  <c r="K48" i="53" s="1"/>
  <c r="K49" i="53" s="1"/>
  <c r="K51" i="53" s="1"/>
  <c r="F63" i="54"/>
  <c r="F32" i="53"/>
  <c r="F39" i="53" s="1"/>
  <c r="F49" i="53" s="1"/>
  <c r="F51" i="53" s="1"/>
  <c r="F32" i="55"/>
  <c r="G32" i="55" s="1"/>
  <c r="J32" i="55" s="1"/>
  <c r="E20" i="54" s="1"/>
  <c r="G20" i="54" s="1"/>
  <c r="H20" i="54" s="1"/>
  <c r="E20" i="59" s="1"/>
  <c r="H20" i="59" s="1"/>
  <c r="F34" i="55"/>
  <c r="G34" i="55" s="1"/>
  <c r="J34" i="55" s="1"/>
  <c r="E22" i="54" s="1"/>
  <c r="G22" i="54" s="1"/>
  <c r="H22" i="54" s="1"/>
  <c r="E22" i="59" s="1"/>
  <c r="H22" i="59" s="1"/>
  <c r="F69" i="55"/>
  <c r="G69" i="55" s="1"/>
  <c r="J69" i="55" s="1"/>
  <c r="E57" i="54" s="1"/>
  <c r="G57" i="54" s="1"/>
  <c r="H57" i="54" s="1"/>
  <c r="E57" i="59" s="1"/>
  <c r="F57" i="59" s="1"/>
  <c r="F40" i="55"/>
  <c r="G40" i="55" s="1"/>
  <c r="J40" i="55" s="1"/>
  <c r="E28" i="54" s="1"/>
  <c r="G28" i="54" s="1"/>
  <c r="H28" i="54" s="1"/>
  <c r="E28" i="59" s="1"/>
  <c r="F28" i="59" s="1"/>
  <c r="F35" i="55"/>
  <c r="G35" i="55" s="1"/>
  <c r="J35" i="55" s="1"/>
  <c r="E23" i="54" s="1"/>
  <c r="G23" i="54" s="1"/>
  <c r="H23" i="54" s="1"/>
  <c r="E23" i="59" s="1"/>
  <c r="I23" i="59" s="1"/>
  <c r="F67" i="55"/>
  <c r="G67" i="55" s="1"/>
  <c r="J67" i="55" s="1"/>
  <c r="E55" i="54" s="1"/>
  <c r="G55" i="54" s="1"/>
  <c r="H55" i="54" s="1"/>
  <c r="E55" i="59" s="1"/>
  <c r="F55" i="59" s="1"/>
  <c r="E14" i="55"/>
  <c r="F72" i="55"/>
  <c r="G72" i="55" s="1"/>
  <c r="J72" i="55" s="1"/>
  <c r="E60" i="54" s="1"/>
  <c r="G60" i="54" s="1"/>
  <c r="H60" i="54" s="1"/>
  <c r="E60" i="59" s="1"/>
  <c r="F70" i="55"/>
  <c r="G70" i="55" s="1"/>
  <c r="J70" i="55" s="1"/>
  <c r="E58" i="54" s="1"/>
  <c r="G58" i="54" s="1"/>
  <c r="H58" i="54" s="1"/>
  <c r="E58" i="59" s="1"/>
  <c r="F58" i="59" s="1"/>
  <c r="F43" i="55"/>
  <c r="G43" i="55" s="1"/>
  <c r="J43" i="55" s="1"/>
  <c r="E31" i="54" s="1"/>
  <c r="G31" i="54" s="1"/>
  <c r="H31" i="54" s="1"/>
  <c r="E31" i="59" s="1"/>
  <c r="F41" i="55"/>
  <c r="G41" i="55" s="1"/>
  <c r="J41" i="55" s="1"/>
  <c r="E29" i="54" s="1"/>
  <c r="G29" i="54" s="1"/>
  <c r="H29" i="54" s="1"/>
  <c r="E29" i="59" s="1"/>
  <c r="F36" i="55"/>
  <c r="G36" i="55" s="1"/>
  <c r="J36" i="55" s="1"/>
  <c r="E24" i="54" s="1"/>
  <c r="G24" i="54" s="1"/>
  <c r="H24" i="54" s="1"/>
  <c r="E24" i="59" s="1"/>
  <c r="F24" i="59" s="1"/>
  <c r="F68" i="55"/>
  <c r="G68" i="55" s="1"/>
  <c r="J68" i="55" s="1"/>
  <c r="E56" i="54" s="1"/>
  <c r="G56" i="54" s="1"/>
  <c r="H56" i="54" s="1"/>
  <c r="E56" i="59" s="1"/>
  <c r="F56" i="59" s="1"/>
  <c r="F57" i="55"/>
  <c r="G57" i="55" s="1"/>
  <c r="J57" i="55" s="1"/>
  <c r="E45" i="54" s="1"/>
  <c r="G45" i="54" s="1"/>
  <c r="H45" i="54" s="1"/>
  <c r="E45" i="59" s="1"/>
  <c r="F55" i="55"/>
  <c r="G55" i="55" s="1"/>
  <c r="J55" i="55" s="1"/>
  <c r="E43" i="54" s="1"/>
  <c r="G43" i="54" s="1"/>
  <c r="H43" i="54" s="1"/>
  <c r="E43" i="59" s="1"/>
  <c r="F43" i="59" s="1"/>
  <c r="F48" i="59" s="1"/>
  <c r="F50" i="59" s="1"/>
  <c r="F39" i="55"/>
  <c r="G39" i="55" s="1"/>
  <c r="J39" i="55" s="1"/>
  <c r="E27" i="54" s="1"/>
  <c r="G27" i="54" s="1"/>
  <c r="H27" i="54" s="1"/>
  <c r="E27" i="59" s="1"/>
  <c r="H27" i="59" s="1"/>
  <c r="F37" i="55"/>
  <c r="G37" i="55" s="1"/>
  <c r="J37" i="55" s="1"/>
  <c r="E25" i="54" s="1"/>
  <c r="G25" i="54" s="1"/>
  <c r="H25" i="54" s="1"/>
  <c r="E25" i="59" s="1"/>
  <c r="F20" i="55"/>
  <c r="F24" i="55"/>
  <c r="G24" i="55" s="1"/>
  <c r="J24" i="55" s="1"/>
  <c r="E12" i="54" s="1"/>
  <c r="G12" i="54" s="1"/>
  <c r="H12" i="54" s="1"/>
  <c r="F22" i="55"/>
  <c r="G22" i="55" s="1"/>
  <c r="J22" i="55" s="1"/>
  <c r="E10" i="54" s="1"/>
  <c r="G10" i="54" s="1"/>
  <c r="H10" i="54" s="1"/>
  <c r="F66" i="55"/>
  <c r="F21" i="55"/>
  <c r="G21" i="55" s="1"/>
  <c r="J21" i="55" s="1"/>
  <c r="E9" i="54" s="1"/>
  <c r="G9" i="54" s="1"/>
  <c r="H9" i="54" s="1"/>
  <c r="E9" i="59" s="1"/>
  <c r="F9" i="59" s="1"/>
  <c r="F14" i="59" s="1"/>
  <c r="F16" i="59" s="1"/>
  <c r="F71" i="55"/>
  <c r="G71" i="55" s="1"/>
  <c r="J71" i="55" s="1"/>
  <c r="E59" i="54" s="1"/>
  <c r="G59" i="54" s="1"/>
  <c r="H59" i="54" s="1"/>
  <c r="E59" i="59" s="1"/>
  <c r="F42" i="55"/>
  <c r="G42" i="55" s="1"/>
  <c r="J42" i="55" s="1"/>
  <c r="E30" i="54" s="1"/>
  <c r="G30" i="54" s="1"/>
  <c r="H30" i="54" s="1"/>
  <c r="E30" i="59" s="1"/>
  <c r="F58" i="55"/>
  <c r="G58" i="55" s="1"/>
  <c r="J58" i="55" s="1"/>
  <c r="E46" i="54" s="1"/>
  <c r="G46" i="54" s="1"/>
  <c r="H46" i="54" s="1"/>
  <c r="E46" i="59" s="1"/>
  <c r="F56" i="55"/>
  <c r="G56" i="55" s="1"/>
  <c r="J56" i="55" s="1"/>
  <c r="E44" i="54" s="1"/>
  <c r="G44" i="54" s="1"/>
  <c r="H44" i="54" s="1"/>
  <c r="E44" i="59" s="1"/>
  <c r="F54" i="55"/>
  <c r="F38" i="55"/>
  <c r="G38" i="55" s="1"/>
  <c r="J38" i="55" s="1"/>
  <c r="E26" i="54" s="1"/>
  <c r="G26" i="54" s="1"/>
  <c r="H26" i="54" s="1"/>
  <c r="E26" i="59" s="1"/>
  <c r="F23" i="55"/>
  <c r="G23" i="55" s="1"/>
  <c r="J23" i="55" s="1"/>
  <c r="E11" i="54" s="1"/>
  <c r="G11" i="54" s="1"/>
  <c r="H11" i="54" s="1"/>
  <c r="F33" i="55"/>
  <c r="G33" i="55" s="1"/>
  <c r="J33" i="55" s="1"/>
  <c r="E21" i="54" s="1"/>
  <c r="G21" i="54" s="1"/>
  <c r="H21" i="54" s="1"/>
  <c r="E21" i="59" s="1"/>
  <c r="I21" i="59" s="1"/>
  <c r="M66" i="54"/>
  <c r="L48" i="54"/>
  <c r="L63" i="54" s="1"/>
  <c r="O42" i="54"/>
  <c r="O48" i="54" s="1"/>
  <c r="L14" i="54"/>
  <c r="O8" i="54"/>
  <c r="G48" i="39"/>
  <c r="H41" i="39"/>
  <c r="H48" i="39" s="1"/>
  <c r="G35" i="39"/>
  <c r="F33" i="59" l="1"/>
  <c r="F37" i="59" s="1"/>
  <c r="F17" i="58" s="1"/>
  <c r="F62" i="59"/>
  <c r="F66" i="59" s="1"/>
  <c r="F39" i="58" s="1"/>
  <c r="H33" i="59"/>
  <c r="I33" i="59"/>
  <c r="F45" i="55"/>
  <c r="E11" i="59"/>
  <c r="F8" i="58"/>
  <c r="E10" i="59"/>
  <c r="E12" i="59"/>
  <c r="L32" i="53"/>
  <c r="L39" i="53" s="1"/>
  <c r="M41" i="53"/>
  <c r="M24" i="53"/>
  <c r="L34" i="54"/>
  <c r="L8" i="53"/>
  <c r="L15" i="53" s="1"/>
  <c r="F30" i="58"/>
  <c r="F26" i="55"/>
  <c r="G20" i="55"/>
  <c r="F74" i="55"/>
  <c r="G66" i="55"/>
  <c r="F60" i="55"/>
  <c r="G54" i="55"/>
  <c r="J31" i="55"/>
  <c r="G45" i="55"/>
  <c r="F46" i="58" l="1"/>
  <c r="M48" i="53"/>
  <c r="F24" i="58"/>
  <c r="F15" i="58"/>
  <c r="J45" i="55"/>
  <c r="E19" i="54"/>
  <c r="F37" i="58"/>
  <c r="G60" i="55"/>
  <c r="J54" i="55"/>
  <c r="G74" i="55"/>
  <c r="J66" i="55"/>
  <c r="J20" i="55"/>
  <c r="G26" i="55"/>
  <c r="G49" i="55" s="1"/>
  <c r="E33" i="54" l="1"/>
  <c r="E17" i="53" s="1"/>
  <c r="G19" i="54"/>
  <c r="J26" i="55"/>
  <c r="J49" i="55" s="1"/>
  <c r="E8" i="54"/>
  <c r="J74" i="55"/>
  <c r="E54" i="54"/>
  <c r="J60" i="55"/>
  <c r="E42" i="54"/>
  <c r="G78" i="55"/>
  <c r="J78" i="55" l="1"/>
  <c r="G42" i="54"/>
  <c r="G33" i="54"/>
  <c r="H19" i="54"/>
  <c r="E62" i="54"/>
  <c r="E41" i="53" s="1"/>
  <c r="G54" i="54"/>
  <c r="E24" i="53"/>
  <c r="G17" i="53"/>
  <c r="G24" i="53" s="1"/>
  <c r="G8" i="54"/>
  <c r="E8" i="53"/>
  <c r="G48" i="54" l="1"/>
  <c r="H42" i="54"/>
  <c r="E15" i="53"/>
  <c r="G8" i="53"/>
  <c r="G15" i="53" s="1"/>
  <c r="E48" i="53"/>
  <c r="G41" i="53"/>
  <c r="G48" i="53" s="1"/>
  <c r="H33" i="54"/>
  <c r="H17" i="53" s="1"/>
  <c r="H24" i="53" s="1"/>
  <c r="E19" i="59"/>
  <c r="E33" i="59" s="1"/>
  <c r="E17" i="58" s="1"/>
  <c r="G14" i="54"/>
  <c r="H8" i="54"/>
  <c r="G62" i="54"/>
  <c r="H54" i="54"/>
  <c r="E32" i="53"/>
  <c r="E63" i="54"/>
  <c r="H14" i="54" l="1"/>
  <c r="H8" i="53" s="1"/>
  <c r="H15" i="53" s="1"/>
  <c r="E8" i="59"/>
  <c r="H48" i="54"/>
  <c r="H32" i="53" s="1"/>
  <c r="H39" i="53" s="1"/>
  <c r="E42" i="59"/>
  <c r="E39" i="53"/>
  <c r="G32" i="53"/>
  <c r="G39" i="53" s="1"/>
  <c r="H62" i="54"/>
  <c r="H41" i="53" s="1"/>
  <c r="H48" i="53" s="1"/>
  <c r="E54" i="59"/>
  <c r="E24" i="58"/>
  <c r="H42" i="59" l="1"/>
  <c r="H48" i="59" s="1"/>
  <c r="E48" i="59"/>
  <c r="E30" i="58" s="1"/>
  <c r="H54" i="59"/>
  <c r="E62" i="59"/>
  <c r="H8" i="59"/>
  <c r="H14" i="59" s="1"/>
  <c r="E14" i="59"/>
  <c r="E37" i="58" l="1"/>
  <c r="E63" i="59"/>
  <c r="E39" i="58"/>
  <c r="E46" i="58" s="1"/>
  <c r="E34" i="59"/>
  <c r="E8" i="58"/>
  <c r="E15" i="58" s="1"/>
  <c r="E25" i="58" s="1"/>
  <c r="E47" i="58" l="1"/>
  <c r="G21" i="39" l="1"/>
  <c r="G20" i="39"/>
  <c r="G19" i="39"/>
  <c r="G18" i="39"/>
  <c r="H18" i="39" s="1"/>
  <c r="G17" i="39"/>
  <c r="G16" i="39"/>
  <c r="H16" i="39" s="1"/>
  <c r="G15" i="39"/>
  <c r="H15" i="39" s="1"/>
  <c r="G14" i="39"/>
  <c r="H14" i="39" s="1"/>
  <c r="G13" i="39"/>
  <c r="K13" i="39" s="1"/>
  <c r="G12" i="39"/>
  <c r="J12" i="39" s="1"/>
  <c r="G11" i="39"/>
  <c r="K11" i="39" s="1"/>
  <c r="G10" i="39"/>
  <c r="J10" i="39" s="1"/>
  <c r="B10" i="39"/>
  <c r="B11" i="39" s="1"/>
  <c r="B12" i="39" s="1"/>
  <c r="B13" i="39" s="1"/>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34" i="39" s="1"/>
  <c r="B35" i="39" s="1"/>
  <c r="B36" i="39" s="1"/>
  <c r="B37" i="39" s="1"/>
  <c r="B38" i="39" s="1"/>
  <c r="B39" i="39" s="1"/>
  <c r="B40" i="39" s="1"/>
  <c r="B41" i="39" s="1"/>
  <c r="B42" i="39" s="1"/>
  <c r="B43" i="39" s="1"/>
  <c r="G9" i="39"/>
  <c r="B44" i="39" l="1"/>
  <c r="B45" i="39" s="1"/>
  <c r="B46" i="39" s="1"/>
  <c r="B47" i="39" s="1"/>
  <c r="B48" i="39" s="1"/>
  <c r="B49" i="39" s="1"/>
  <c r="B50" i="39" s="1"/>
  <c r="B51" i="39" s="1"/>
  <c r="B52" i="39" s="1"/>
  <c r="B53" i="39" s="1"/>
  <c r="H23" i="39"/>
  <c r="K23" i="39"/>
  <c r="J9" i="39"/>
  <c r="J23" i="39" s="1"/>
  <c r="G23" i="39"/>
  <c r="B333" i="31"/>
  <c r="B334" i="31" s="1"/>
  <c r="B335" i="31" s="1"/>
  <c r="B336" i="31" s="1"/>
  <c r="B337" i="31" s="1"/>
  <c r="B338" i="31" s="1"/>
  <c r="B339" i="31" s="1"/>
  <c r="B340" i="31" s="1"/>
  <c r="B341" i="31" s="1"/>
  <c r="B342" i="31" s="1"/>
  <c r="B343" i="31" s="1"/>
  <c r="B344" i="31" s="1"/>
  <c r="B345" i="31" s="1"/>
  <c r="B346" i="31" s="1"/>
  <c r="B347" i="31" s="1"/>
  <c r="B348" i="31" s="1"/>
  <c r="B349" i="31" s="1"/>
  <c r="B350" i="31" s="1"/>
  <c r="B351" i="31" s="1"/>
  <c r="B146" i="31"/>
  <c r="B147" i="31" s="1"/>
  <c r="B148" i="31" s="1"/>
  <c r="B149" i="31" s="1"/>
  <c r="B150" i="31" s="1"/>
  <c r="B151" i="31" s="1"/>
  <c r="B152" i="31" s="1"/>
  <c r="B153" i="31" s="1"/>
  <c r="B154" i="31" s="1"/>
  <c r="B155" i="31" s="1"/>
  <c r="B156" i="31" s="1"/>
  <c r="B157" i="31" s="1"/>
  <c r="B158" i="31" s="1"/>
  <c r="B159" i="31" s="1"/>
  <c r="B160" i="31" s="1"/>
  <c r="B161" i="31" s="1"/>
  <c r="B162" i="31" s="1"/>
  <c r="B163" i="31" s="1"/>
  <c r="B164" i="31" s="1"/>
  <c r="B165" i="31" s="1"/>
  <c r="B166" i="31" s="1"/>
  <c r="B167" i="31" s="1"/>
  <c r="B168" i="31" s="1"/>
  <c r="B169" i="31" s="1"/>
  <c r="B170" i="31" s="1"/>
  <c r="B171" i="31" s="1"/>
  <c r="B172" i="31" s="1"/>
  <c r="B173" i="31" s="1"/>
  <c r="B174" i="31" s="1"/>
  <c r="B175" i="31" s="1"/>
  <c r="B176" i="31" s="1"/>
  <c r="B177" i="31" s="1"/>
  <c r="B178" i="31" s="1"/>
  <c r="B179" i="31" s="1"/>
  <c r="B180" i="31" s="1"/>
  <c r="B181" i="31" s="1"/>
  <c r="B182" i="31" s="1"/>
  <c r="B183" i="31" s="1"/>
  <c r="B184" i="31" s="1"/>
  <c r="B185" i="31" s="1"/>
  <c r="B186" i="31" s="1"/>
  <c r="B187" i="31" s="1"/>
  <c r="B188" i="31" s="1"/>
  <c r="B189" i="31" s="1"/>
  <c r="B190" i="31" s="1"/>
  <c r="B191" i="31" s="1"/>
  <c r="B192" i="31" s="1"/>
  <c r="B193" i="31" s="1"/>
  <c r="B194" i="31" s="1"/>
  <c r="B195" i="31" s="1"/>
  <c r="B196" i="31" s="1"/>
  <c r="B197" i="31" s="1"/>
  <c r="B198" i="31" s="1"/>
  <c r="B199" i="31" s="1"/>
  <c r="B200" i="31" s="1"/>
  <c r="B201" i="31" s="1"/>
  <c r="B202" i="31" s="1"/>
  <c r="B203" i="31" s="1"/>
  <c r="B204" i="31" s="1"/>
  <c r="B205" i="31" s="1"/>
  <c r="B206" i="31" s="1"/>
  <c r="B207" i="31" s="1"/>
  <c r="B208" i="31" s="1"/>
  <c r="B209" i="31" s="1"/>
  <c r="B210" i="31" s="1"/>
  <c r="B211" i="31" s="1"/>
  <c r="B212" i="31" s="1"/>
  <c r="B213" i="31" s="1"/>
  <c r="B214" i="31" s="1"/>
  <c r="B215" i="31" s="1"/>
  <c r="B216" i="31" s="1"/>
  <c r="B217" i="31" s="1"/>
  <c r="B218" i="31" s="1"/>
  <c r="B219" i="31" s="1"/>
  <c r="B220" i="31" s="1"/>
  <c r="B221" i="31" s="1"/>
  <c r="B222" i="31" s="1"/>
  <c r="B223" i="31" s="1"/>
  <c r="B224" i="31" s="1"/>
  <c r="B225" i="31" s="1"/>
  <c r="B226" i="31" s="1"/>
  <c r="B227" i="31" s="1"/>
  <c r="B228" i="31" s="1"/>
  <c r="B229" i="31" s="1"/>
  <c r="B230" i="31" s="1"/>
  <c r="B231" i="31" s="1"/>
  <c r="B234" i="31" s="1"/>
  <c r="B235" i="31" s="1"/>
  <c r="B236" i="31" s="1"/>
  <c r="B237" i="31" s="1"/>
  <c r="B238" i="31" s="1"/>
  <c r="B239" i="31" s="1"/>
  <c r="B240" i="31" s="1"/>
  <c r="B241" i="31" s="1"/>
  <c r="B242" i="31" s="1"/>
  <c r="B243" i="31" s="1"/>
  <c r="B244" i="31" s="1"/>
  <c r="B245" i="31" s="1"/>
  <c r="B246" i="31" s="1"/>
  <c r="B247" i="31" s="1"/>
  <c r="B248" i="31" s="1"/>
  <c r="B249" i="31" s="1"/>
  <c r="B250" i="31" s="1"/>
  <c r="B251" i="31" s="1"/>
  <c r="B252" i="31" s="1"/>
  <c r="B253" i="31" s="1"/>
  <c r="B254" i="31" s="1"/>
  <c r="B255" i="31" s="1"/>
  <c r="B256" i="31" s="1"/>
  <c r="B257" i="31" s="1"/>
  <c r="B258" i="31" s="1"/>
  <c r="B259" i="31" s="1"/>
  <c r="B260" i="31" s="1"/>
  <c r="B261" i="31" s="1"/>
  <c r="B262" i="31" s="1"/>
  <c r="B263" i="31" s="1"/>
  <c r="B264" i="31" s="1"/>
  <c r="B265" i="31" s="1"/>
  <c r="B266" i="31" s="1"/>
  <c r="B267" i="31" s="1"/>
  <c r="B268" i="31" s="1"/>
  <c r="B269" i="31" s="1"/>
  <c r="B270" i="31" s="1"/>
  <c r="B271" i="31" s="1"/>
  <c r="B272" i="31" s="1"/>
  <c r="B273" i="31" s="1"/>
  <c r="B274" i="31" s="1"/>
  <c r="B275" i="31" s="1"/>
  <c r="B276" i="31" s="1"/>
  <c r="B277" i="31" s="1"/>
  <c r="B278" i="31" s="1"/>
  <c r="B279" i="31" s="1"/>
  <c r="B280" i="31" s="1"/>
  <c r="B281" i="31" s="1"/>
  <c r="B282" i="31" s="1"/>
  <c r="B283" i="31" s="1"/>
  <c r="B284" i="31" s="1"/>
  <c r="B285" i="31" s="1"/>
  <c r="B286" i="31" s="1"/>
  <c r="B287" i="31" s="1"/>
  <c r="B288" i="31" s="1"/>
  <c r="B289" i="31" s="1"/>
  <c r="B290" i="31" s="1"/>
  <c r="B291" i="31" s="1"/>
  <c r="B292" i="31" s="1"/>
  <c r="B293" i="31" s="1"/>
  <c r="B294" i="31" s="1"/>
  <c r="B295" i="31" s="1"/>
  <c r="B296" i="31" s="1"/>
  <c r="B297" i="31" s="1"/>
  <c r="B298" i="31" s="1"/>
  <c r="B299" i="31" s="1"/>
  <c r="B300" i="31" s="1"/>
  <c r="B301" i="31" s="1"/>
  <c r="B302" i="31" s="1"/>
  <c r="B303" i="31" s="1"/>
  <c r="B304" i="31" s="1"/>
  <c r="B305" i="31" s="1"/>
  <c r="B306" i="31" s="1"/>
  <c r="B307" i="31" s="1"/>
  <c r="B308" i="31" s="1"/>
  <c r="B309" i="31" s="1"/>
  <c r="B310" i="31" s="1"/>
  <c r="B311" i="31" s="1"/>
  <c r="B312" i="31" s="1"/>
  <c r="B313" i="31" s="1"/>
  <c r="B314" i="31" s="1"/>
  <c r="B315" i="31" s="1"/>
  <c r="B316" i="31" s="1"/>
  <c r="B317" i="31" s="1"/>
  <c r="B318" i="31" s="1"/>
  <c r="B319" i="31" s="1"/>
  <c r="B320" i="31" s="1"/>
  <c r="B321" i="31" s="1"/>
  <c r="B322" i="31" s="1"/>
  <c r="B323" i="31" s="1"/>
  <c r="B324" i="31" s="1"/>
  <c r="B325" i="31" s="1"/>
  <c r="M101" i="52" l="1"/>
  <c r="M86" i="52"/>
  <c r="M124" i="52"/>
  <c r="O124" i="52" l="1"/>
  <c r="N124" i="52"/>
  <c r="O101" i="52"/>
  <c r="N101" i="52"/>
  <c r="O86" i="52"/>
  <c r="N86" i="52"/>
  <c r="I19" i="52"/>
  <c r="I18" i="52"/>
  <c r="I17" i="52"/>
  <c r="I16" i="52"/>
  <c r="I15" i="52"/>
  <c r="I14" i="52"/>
  <c r="I13" i="52"/>
  <c r="I12" i="52"/>
  <c r="I11" i="52"/>
  <c r="I10" i="52"/>
  <c r="I9" i="52"/>
  <c r="I8" i="52"/>
  <c r="D19" i="52"/>
  <c r="D18" i="52"/>
  <c r="D17" i="52"/>
  <c r="D16" i="52"/>
  <c r="D15" i="52"/>
  <c r="D14" i="52"/>
  <c r="D13" i="52"/>
  <c r="D12" i="52"/>
  <c r="D11" i="52"/>
  <c r="D10" i="52"/>
  <c r="D9" i="52"/>
  <c r="D8" i="52"/>
  <c r="B19" i="52"/>
  <c r="B18" i="52"/>
  <c r="B17" i="52"/>
  <c r="B16" i="52"/>
  <c r="B15" i="52"/>
  <c r="B14" i="52"/>
  <c r="B13" i="52"/>
  <c r="B12" i="52"/>
  <c r="B11" i="52"/>
  <c r="B10" i="52"/>
  <c r="B9" i="52"/>
  <c r="J19" i="52" l="1"/>
  <c r="J18" i="52"/>
  <c r="J17" i="52"/>
  <c r="J16" i="52"/>
  <c r="J15" i="52"/>
  <c r="J14" i="52"/>
  <c r="J13" i="52"/>
  <c r="J12" i="52"/>
  <c r="J11" i="52"/>
  <c r="J10" i="52"/>
  <c r="J9" i="52"/>
  <c r="J8" i="52"/>
  <c r="B2" i="52" l="1"/>
  <c r="L124" i="52"/>
  <c r="K124" i="52"/>
  <c r="J124" i="52"/>
  <c r="L101" i="52"/>
  <c r="K101" i="52"/>
  <c r="J101" i="52"/>
  <c r="L86" i="52"/>
  <c r="K86" i="52"/>
  <c r="J86" i="52"/>
  <c r="A77" i="52"/>
  <c r="A78" i="52" s="1"/>
  <c r="A79" i="52" s="1"/>
  <c r="A80" i="52" s="1"/>
  <c r="A81" i="52" s="1"/>
  <c r="A82" i="52" s="1"/>
  <c r="A83" i="52" s="1"/>
  <c r="A84" i="52" s="1"/>
  <c r="A85" i="52" s="1"/>
  <c r="A86" i="52" s="1"/>
  <c r="A92" i="52" s="1"/>
  <c r="A93" i="52" s="1"/>
  <c r="A94" i="52" s="1"/>
  <c r="A95" i="52" s="1"/>
  <c r="A96" i="52" s="1"/>
  <c r="A97" i="52" s="1"/>
  <c r="A98" i="52" s="1"/>
  <c r="A99" i="52" s="1"/>
  <c r="A100" i="52" s="1"/>
  <c r="A101"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9" i="52"/>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J61" i="52"/>
  <c r="B753" i="52" l="1"/>
  <c r="B201" i="52"/>
  <c r="B615" i="52"/>
  <c r="B546" i="52"/>
  <c r="B822" i="52"/>
  <c r="B891" i="52"/>
  <c r="B339" i="52"/>
  <c r="B684" i="52"/>
  <c r="B477" i="52"/>
  <c r="B270" i="52"/>
  <c r="B408" i="52"/>
  <c r="J128" i="52"/>
  <c r="B132" i="52"/>
  <c r="B70" i="52"/>
  <c r="L152" i="52"/>
  <c r="L153" i="52" s="1"/>
  <c r="G7" i="7" l="1"/>
  <c r="G6" i="7"/>
  <c r="G14" i="7"/>
  <c r="G13" i="7"/>
  <c r="G8" i="7" l="1"/>
  <c r="G15" i="7"/>
  <c r="F262" i="1" l="1"/>
  <c r="H33" i="1"/>
  <c r="G56" i="7"/>
  <c r="H45" i="1"/>
  <c r="H35" i="1"/>
  <c r="H135" i="1"/>
  <c r="H42" i="1"/>
  <c r="H56" i="1"/>
  <c r="M50" i="36"/>
  <c r="M49" i="36"/>
  <c r="M42" i="36"/>
  <c r="M41" i="36"/>
  <c r="M46" i="36"/>
  <c r="M45" i="36"/>
  <c r="V17" i="42"/>
  <c r="V14" i="42"/>
  <c r="H177" i="1"/>
  <c r="E50" i="1"/>
  <c r="G25" i="7"/>
  <c r="E48" i="3"/>
  <c r="E46" i="3"/>
  <c r="E16" i="3"/>
  <c r="E44" i="3"/>
  <c r="E33" i="3"/>
  <c r="E32" i="3"/>
  <c r="E31" i="3"/>
  <c r="E21" i="3"/>
  <c r="G14" i="36"/>
  <c r="G12" i="36"/>
  <c r="H20" i="1"/>
  <c r="P71" i="36"/>
  <c r="G45" i="7"/>
  <c r="C45" i="7"/>
  <c r="D16" i="5"/>
  <c r="I25" i="39"/>
  <c r="I37" i="39" s="1"/>
  <c r="I38" i="39" s="1"/>
  <c r="H25" i="39"/>
  <c r="H37" i="39" s="1"/>
  <c r="D11" i="5"/>
  <c r="G38" i="7"/>
  <c r="H247" i="1" s="1"/>
  <c r="H137" i="1"/>
  <c r="B10" i="31"/>
  <c r="B11" i="31"/>
  <c r="B12" i="31"/>
  <c r="B13" i="31" s="1"/>
  <c r="B14" i="31" s="1"/>
  <c r="B15" i="31" s="1"/>
  <c r="B16" i="31" s="1"/>
  <c r="B17" i="31" s="1"/>
  <c r="B18" i="31" s="1"/>
  <c r="B19" i="31" s="1"/>
  <c r="B20" i="31" s="1"/>
  <c r="B21"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B42" i="31" s="1"/>
  <c r="B44" i="31" s="1"/>
  <c r="B45" i="31" s="1"/>
  <c r="B46" i="31" s="1"/>
  <c r="B47" i="31" s="1"/>
  <c r="B48" i="31" s="1"/>
  <c r="B49" i="31" s="1"/>
  <c r="B50" i="31" s="1"/>
  <c r="B51" i="31" s="1"/>
  <c r="B52" i="31" s="1"/>
  <c r="B53" i="31" s="1"/>
  <c r="B54" i="31" s="1"/>
  <c r="B55" i="31" s="1"/>
  <c r="B56" i="31" s="1"/>
  <c r="B57" i="31" s="1"/>
  <c r="B58" i="31" s="1"/>
  <c r="B59" i="31" s="1"/>
  <c r="B60" i="31" s="1"/>
  <c r="B61" i="31" s="1"/>
  <c r="B62" i="31" s="1"/>
  <c r="B63" i="31" s="1"/>
  <c r="B64" i="31" s="1"/>
  <c r="B65" i="31" s="1"/>
  <c r="B66" i="31" s="1"/>
  <c r="B67" i="31" s="1"/>
  <c r="B68" i="31" s="1"/>
  <c r="B69" i="31" s="1"/>
  <c r="B70" i="31" s="1"/>
  <c r="B71" i="31" s="1"/>
  <c r="B72" i="31" s="1"/>
  <c r="B73" i="31" s="1"/>
  <c r="B74" i="31" s="1"/>
  <c r="B75" i="31" s="1"/>
  <c r="B76" i="31" s="1"/>
  <c r="B77" i="31" s="1"/>
  <c r="B78" i="31" s="1"/>
  <c r="B79" i="31" s="1"/>
  <c r="B80" i="31" s="1"/>
  <c r="B81" i="31" s="1"/>
  <c r="B82" i="31" s="1"/>
  <c r="B83" i="31" s="1"/>
  <c r="B84" i="31" s="1"/>
  <c r="B85" i="31" s="1"/>
  <c r="B86" i="31" s="1"/>
  <c r="B87" i="31" s="1"/>
  <c r="B94" i="31"/>
  <c r="H44" i="1"/>
  <c r="H10" i="1"/>
  <c r="H12" i="1"/>
  <c r="H13" i="1"/>
  <c r="H19" i="1"/>
  <c r="P81" i="36"/>
  <c r="P73" i="36"/>
  <c r="P75" i="36"/>
  <c r="P77" i="36"/>
  <c r="P79" i="36"/>
  <c r="D12" i="36"/>
  <c r="J12" i="36"/>
  <c r="M12" i="36"/>
  <c r="D14" i="36"/>
  <c r="J14" i="36"/>
  <c r="M14" i="36"/>
  <c r="C9" i="35"/>
  <c r="U9" i="35" s="1"/>
  <c r="C11" i="35"/>
  <c r="U11" i="35" s="1"/>
  <c r="D14" i="42"/>
  <c r="S14" i="42"/>
  <c r="J14" i="42"/>
  <c r="M14" i="42"/>
  <c r="P14" i="42"/>
  <c r="P20" i="42" s="1"/>
  <c r="P17" i="42"/>
  <c r="D17" i="42"/>
  <c r="S17" i="42"/>
  <c r="J17" i="42"/>
  <c r="J20" i="42" s="1"/>
  <c r="M17" i="42"/>
  <c r="M33" i="36"/>
  <c r="M34" i="36"/>
  <c r="M37" i="36"/>
  <c r="M38" i="36"/>
  <c r="H82" i="1"/>
  <c r="G47" i="7"/>
  <c r="G49" i="7"/>
  <c r="H111" i="1" s="1"/>
  <c r="H115" i="1"/>
  <c r="H119" i="1"/>
  <c r="H120" i="1"/>
  <c r="H34" i="1"/>
  <c r="H90" i="1"/>
  <c r="H58" i="1"/>
  <c r="H21" i="1"/>
  <c r="G31" i="7"/>
  <c r="H138" i="1"/>
  <c r="D6" i="5"/>
  <c r="D13" i="5"/>
  <c r="D18" i="5"/>
  <c r="A42" i="1"/>
  <c r="A2" i="46"/>
  <c r="A3" i="7"/>
  <c r="A2" i="49" s="1"/>
  <c r="A2" i="1"/>
  <c r="A203" i="1" s="1"/>
  <c r="B2" i="36"/>
  <c r="B65" i="36" s="1"/>
  <c r="A2" i="35"/>
  <c r="A2" i="42"/>
  <c r="A2" i="34"/>
  <c r="A2" i="38"/>
  <c r="A2" i="5"/>
  <c r="A4" i="3"/>
  <c r="B2" i="39"/>
  <c r="B17" i="42"/>
  <c r="C14" i="36" s="1"/>
  <c r="E55" i="3"/>
  <c r="B101" i="31"/>
  <c r="B102" i="31" s="1"/>
  <c r="B103" i="31" s="1"/>
  <c r="B104" i="31" s="1"/>
  <c r="B105" i="31" s="1"/>
  <c r="B106" i="31" s="1"/>
  <c r="B107" i="31" s="1"/>
  <c r="B108" i="31" s="1"/>
  <c r="B109" i="31" s="1"/>
  <c r="B110" i="31" s="1"/>
  <c r="B111" i="31" s="1"/>
  <c r="B112" i="31" s="1"/>
  <c r="B113" i="31" s="1"/>
  <c r="B114" i="31" s="1"/>
  <c r="B115" i="31" s="1"/>
  <c r="B116" i="31" s="1"/>
  <c r="B117" i="31" s="1"/>
  <c r="B118" i="31" s="1"/>
  <c r="B119" i="31" s="1"/>
  <c r="B120" i="31" s="1"/>
  <c r="B121" i="31" s="1"/>
  <c r="B122" i="31" s="1"/>
  <c r="B123" i="31" s="1"/>
  <c r="B124" i="31" s="1"/>
  <c r="B125" i="31" s="1"/>
  <c r="B126" i="31" s="1"/>
  <c r="B127" i="31" s="1"/>
  <c r="C49" i="7"/>
  <c r="E210" i="1"/>
  <c r="E209" i="1"/>
  <c r="E135" i="1"/>
  <c r="E56" i="1"/>
  <c r="E82" i="1"/>
  <c r="K25" i="38"/>
  <c r="E127" i="1"/>
  <c r="E79" i="1"/>
  <c r="F36" i="1"/>
  <c r="H156" i="1"/>
  <c r="B64" i="36"/>
  <c r="C20" i="7"/>
  <c r="G20" i="7"/>
  <c r="C38" i="7"/>
  <c r="G35" i="7" s="1"/>
  <c r="A12" i="1"/>
  <c r="A13" i="1" s="1"/>
  <c r="F14" i="1" s="1"/>
  <c r="A19" i="1"/>
  <c r="F47" i="1"/>
  <c r="C59" i="1"/>
  <c r="C61" i="1"/>
  <c r="F61" i="1"/>
  <c r="F83" i="1"/>
  <c r="E119" i="1"/>
  <c r="F122" i="1"/>
  <c r="E126" i="1"/>
  <c r="F140" i="1"/>
  <c r="E208" i="1"/>
  <c r="C246" i="1"/>
  <c r="E247" i="1"/>
  <c r="B14" i="42"/>
  <c r="C12" i="36" s="1"/>
  <c r="C37" i="36" s="1"/>
  <c r="C41" i="36" s="1"/>
  <c r="C45" i="36" s="1"/>
  <c r="I50" i="39"/>
  <c r="I51" i="39"/>
  <c r="H26" i="39"/>
  <c r="I56" i="7"/>
  <c r="M51" i="36" l="1"/>
  <c r="D20" i="42"/>
  <c r="H159" i="1" s="1"/>
  <c r="H38" i="39"/>
  <c r="H50" i="39"/>
  <c r="H51" i="39" s="1"/>
  <c r="M20" i="42"/>
  <c r="I26" i="39"/>
  <c r="B11" i="35"/>
  <c r="M43" i="36"/>
  <c r="E25" i="3"/>
  <c r="M47" i="36"/>
  <c r="S20" i="42"/>
  <c r="H160" i="1" s="1"/>
  <c r="H211" i="1"/>
  <c r="H59" i="1"/>
  <c r="H14" i="1"/>
  <c r="H36" i="1"/>
  <c r="H37" i="1" s="1"/>
  <c r="H46" i="1"/>
  <c r="H246" i="1"/>
  <c r="E36" i="3"/>
  <c r="U13" i="35"/>
  <c r="H161" i="1" s="1"/>
  <c r="A103" i="1"/>
  <c r="P14" i="36"/>
  <c r="G14" i="42"/>
  <c r="Y14" i="42" s="1"/>
  <c r="H139" i="1"/>
  <c r="P84" i="36"/>
  <c r="H154" i="1" s="1"/>
  <c r="M39" i="36"/>
  <c r="V20" i="42"/>
  <c r="H162" i="1" s="1"/>
  <c r="G17" i="42"/>
  <c r="Y17" i="42" s="1"/>
  <c r="E51" i="3"/>
  <c r="H22" i="1"/>
  <c r="G58" i="7"/>
  <c r="C49" i="36"/>
  <c r="C33" i="36"/>
  <c r="A14" i="1"/>
  <c r="P12" i="36"/>
  <c r="H121" i="1"/>
  <c r="M35" i="36"/>
  <c r="K23" i="38"/>
  <c r="A44" i="1"/>
  <c r="A20" i="1"/>
  <c r="C38" i="36"/>
  <c r="C42" i="36" s="1"/>
  <c r="C34" i="36"/>
  <c r="H60" i="1" l="1"/>
  <c r="H248" i="1"/>
  <c r="M54" i="36"/>
  <c r="M55" i="36"/>
  <c r="U17" i="35"/>
  <c r="I14" i="34" s="1"/>
  <c r="H176" i="1" s="1"/>
  <c r="D14" i="34"/>
  <c r="H167" i="1" s="1"/>
  <c r="H212" i="1"/>
  <c r="I25" i="7"/>
  <c r="J25" i="7" s="1"/>
  <c r="H127" i="1" s="1"/>
  <c r="P16" i="36"/>
  <c r="M53" i="36" s="1"/>
  <c r="H163" i="1"/>
  <c r="E53" i="3"/>
  <c r="E57" i="3" s="1"/>
  <c r="H24" i="1"/>
  <c r="Y22" i="42"/>
  <c r="D16" i="34" s="1"/>
  <c r="H168" i="1" s="1"/>
  <c r="G20" i="42"/>
  <c r="D7" i="5"/>
  <c r="D8" i="5" s="1"/>
  <c r="H11" i="1"/>
  <c r="I15" i="7"/>
  <c r="J15" i="7" s="1"/>
  <c r="H85" i="1" s="1"/>
  <c r="A45" i="1"/>
  <c r="A46" i="1" s="1"/>
  <c r="C50" i="36"/>
  <c r="C46" i="36"/>
  <c r="A21" i="1"/>
  <c r="F22" i="1" s="1"/>
  <c r="H16" i="1" l="1"/>
  <c r="I49" i="64" s="1"/>
  <c r="I50" i="64" s="1"/>
  <c r="H249" i="1"/>
  <c r="H221" i="1"/>
  <c r="L602" i="52"/>
  <c r="L947" i="52"/>
  <c r="L188" i="52"/>
  <c r="L533" i="52"/>
  <c r="L878" i="52"/>
  <c r="L464" i="52"/>
  <c r="L809" i="52"/>
  <c r="L395" i="52"/>
  <c r="L740" i="52"/>
  <c r="L326" i="52"/>
  <c r="L671" i="52"/>
  <c r="L257" i="52"/>
  <c r="D12" i="34"/>
  <c r="D18" i="34" s="1"/>
  <c r="M57" i="36"/>
  <c r="P86" i="36" s="1"/>
  <c r="P88" i="36" s="1"/>
  <c r="I12" i="34" s="1"/>
  <c r="H175" i="1" s="1"/>
  <c r="I45" i="7"/>
  <c r="A47" i="1"/>
  <c r="A48" i="1" s="1"/>
  <c r="F46" i="1"/>
  <c r="A22" i="1"/>
  <c r="F59" i="1"/>
  <c r="I15" i="59" l="1"/>
  <c r="I16" i="59" s="1"/>
  <c r="I8" i="58" s="1"/>
  <c r="I15" i="58" s="1"/>
  <c r="I65" i="64"/>
  <c r="I66" i="64" s="1"/>
  <c r="P65" i="54"/>
  <c r="P66" i="54" s="1"/>
  <c r="P41" i="53" s="1"/>
  <c r="P48" i="53" s="1"/>
  <c r="F36" i="3"/>
  <c r="G36" i="3" s="1"/>
  <c r="P15" i="54"/>
  <c r="P16" i="54" s="1"/>
  <c r="P8" i="53" s="1"/>
  <c r="P15" i="53" s="1"/>
  <c r="H140" i="1"/>
  <c r="P49" i="54"/>
  <c r="P50" i="54" s="1"/>
  <c r="P32" i="53" s="1"/>
  <c r="P39" i="53" s="1"/>
  <c r="I49" i="59"/>
  <c r="I50" i="59" s="1"/>
  <c r="I30" i="58" s="1"/>
  <c r="I37" i="58" s="1"/>
  <c r="I65" i="59"/>
  <c r="I66" i="59" s="1"/>
  <c r="I39" i="58" s="1"/>
  <c r="I46" i="58" s="1"/>
  <c r="H47" i="1"/>
  <c r="H48" i="1" s="1"/>
  <c r="I36" i="64"/>
  <c r="I37" i="64" s="1"/>
  <c r="P36" i="54"/>
  <c r="P37" i="54" s="1"/>
  <c r="P17" i="53" s="1"/>
  <c r="P24" i="53" s="1"/>
  <c r="I36" i="59"/>
  <c r="I37" i="59" s="1"/>
  <c r="I17" i="58" s="1"/>
  <c r="I24" i="58" s="1"/>
  <c r="H61" i="1"/>
  <c r="H62" i="1" s="1"/>
  <c r="P15" i="62"/>
  <c r="P16" i="62" s="1"/>
  <c r="P36" i="62"/>
  <c r="P37" i="62" s="1"/>
  <c r="H83" i="1"/>
  <c r="P49" i="62"/>
  <c r="P50" i="62" s="1"/>
  <c r="P65" i="62"/>
  <c r="P66" i="62" s="1"/>
  <c r="H122" i="1"/>
  <c r="I15" i="64"/>
  <c r="I16" i="64" s="1"/>
  <c r="K25" i="39"/>
  <c r="K37" i="39" s="1"/>
  <c r="K50" i="39" s="1"/>
  <c r="K51" i="39" s="1"/>
  <c r="H166" i="1"/>
  <c r="H169" i="1" s="1"/>
  <c r="H84" i="1"/>
  <c r="H123" i="1"/>
  <c r="H141" i="1"/>
  <c r="I47" i="7"/>
  <c r="J45" i="7"/>
  <c r="H108" i="1" s="1"/>
  <c r="G16" i="34"/>
  <c r="G14" i="34"/>
  <c r="L14" i="34" s="1"/>
  <c r="G12" i="34"/>
  <c r="F48" i="1"/>
  <c r="A50" i="1"/>
  <c r="A52" i="1" s="1"/>
  <c r="A24" i="1"/>
  <c r="A26" i="1" s="1"/>
  <c r="F24" i="1"/>
  <c r="K26" i="39" l="1"/>
  <c r="K38" i="39"/>
  <c r="L948" i="52"/>
  <c r="L949" i="52" s="1"/>
  <c r="L741" i="52"/>
  <c r="L742" i="52" s="1"/>
  <c r="L258" i="52"/>
  <c r="L259" i="52" s="1"/>
  <c r="L465" i="52"/>
  <c r="L466" i="52" s="1"/>
  <c r="L879" i="52"/>
  <c r="L880" i="52" s="1"/>
  <c r="L672" i="52"/>
  <c r="L673" i="52" s="1"/>
  <c r="L396" i="52"/>
  <c r="L397" i="52" s="1"/>
  <c r="L810" i="52"/>
  <c r="L811" i="52" s="1"/>
  <c r="L603" i="52"/>
  <c r="L604" i="52" s="1"/>
  <c r="L327" i="52"/>
  <c r="L328" i="52" s="1"/>
  <c r="L534" i="52"/>
  <c r="L535" i="52" s="1"/>
  <c r="L639" i="52"/>
  <c r="L640" i="52" s="1"/>
  <c r="L708" i="52"/>
  <c r="L709" i="52" s="1"/>
  <c r="L363" i="52"/>
  <c r="L364" i="52" s="1"/>
  <c r="L777" i="52"/>
  <c r="L778" i="52" s="1"/>
  <c r="L846" i="52"/>
  <c r="L847" i="52" s="1"/>
  <c r="L432" i="52"/>
  <c r="L433" i="52" s="1"/>
  <c r="L294" i="52"/>
  <c r="L295" i="52" s="1"/>
  <c r="L501" i="52"/>
  <c r="L502" i="52" s="1"/>
  <c r="L915" i="52"/>
  <c r="L916" i="52" s="1"/>
  <c r="L570" i="52"/>
  <c r="L571" i="52" s="1"/>
  <c r="L225" i="52"/>
  <c r="L226" i="52" s="1"/>
  <c r="L156" i="52"/>
  <c r="L157" i="52" s="1"/>
  <c r="L719" i="52"/>
  <c r="L721" i="52" s="1"/>
  <c r="L374" i="52"/>
  <c r="L376" i="52" s="1"/>
  <c r="L788" i="52"/>
  <c r="L790" i="52" s="1"/>
  <c r="L857" i="52"/>
  <c r="L859" i="52" s="1"/>
  <c r="L443" i="52"/>
  <c r="L445" i="52" s="1"/>
  <c r="L581" i="52"/>
  <c r="L583" i="52" s="1"/>
  <c r="L926" i="52"/>
  <c r="L928" i="52" s="1"/>
  <c r="L512" i="52"/>
  <c r="L514" i="52" s="1"/>
  <c r="L236" i="52"/>
  <c r="L238" i="52" s="1"/>
  <c r="L650" i="52"/>
  <c r="L652" i="52" s="1"/>
  <c r="L305" i="52"/>
  <c r="L307" i="52" s="1"/>
  <c r="L167" i="52"/>
  <c r="L169" i="52" s="1"/>
  <c r="F52" i="1"/>
  <c r="H172" i="1"/>
  <c r="H143" i="1"/>
  <c r="H52" i="1"/>
  <c r="I49" i="7"/>
  <c r="J49" i="7" s="1"/>
  <c r="J47" i="7"/>
  <c r="H109" i="1" s="1"/>
  <c r="H64" i="1"/>
  <c r="H86" i="1"/>
  <c r="L189" i="52"/>
  <c r="L190" i="52" s="1"/>
  <c r="L147" i="52" s="1"/>
  <c r="A27" i="1"/>
  <c r="A29" i="1" s="1"/>
  <c r="F27" i="1"/>
  <c r="A56" i="1"/>
  <c r="F26" i="1"/>
  <c r="L12" i="34"/>
  <c r="G18" i="34"/>
  <c r="H171" i="1"/>
  <c r="H173" i="1"/>
  <c r="L16" i="34"/>
  <c r="H179" i="1" l="1"/>
  <c r="H180" i="1"/>
  <c r="H181" i="1"/>
  <c r="H112" i="1"/>
  <c r="H26" i="1"/>
  <c r="H66" i="1"/>
  <c r="H238" i="1"/>
  <c r="L20" i="34"/>
  <c r="F30" i="1"/>
  <c r="A30" i="1"/>
  <c r="A58" i="1"/>
  <c r="H182" i="1" l="1"/>
  <c r="H29" i="1"/>
  <c r="H233" i="1"/>
  <c r="H27" i="1"/>
  <c r="A59" i="1"/>
  <c r="A60" i="1" s="1"/>
  <c r="L163" i="52" l="1"/>
  <c r="L301" i="52"/>
  <c r="L508" i="52"/>
  <c r="L922" i="52"/>
  <c r="L715" i="52"/>
  <c r="L232" i="52"/>
  <c r="L439" i="52"/>
  <c r="L853" i="52"/>
  <c r="L646" i="52"/>
  <c r="L370" i="52"/>
  <c r="L784" i="52"/>
  <c r="L577" i="52"/>
  <c r="O65" i="62"/>
  <c r="O66" i="62" s="1"/>
  <c r="Q66" i="62" s="1"/>
  <c r="H65" i="64"/>
  <c r="H66" i="64" s="1"/>
  <c r="J66" i="64" s="1"/>
  <c r="O36" i="62"/>
  <c r="O37" i="62" s="1"/>
  <c r="Q37" i="62" s="1"/>
  <c r="O49" i="62"/>
  <c r="O50" i="62" s="1"/>
  <c r="Q50" i="62" s="1"/>
  <c r="H49" i="64"/>
  <c r="H50" i="64" s="1"/>
  <c r="J50" i="64" s="1"/>
  <c r="H36" i="64"/>
  <c r="H37" i="64" s="1"/>
  <c r="J37" i="64" s="1"/>
  <c r="H15" i="64"/>
  <c r="H16" i="64" s="1"/>
  <c r="J16" i="64" s="1"/>
  <c r="O15" i="62"/>
  <c r="O16" i="62" s="1"/>
  <c r="Q16" i="62" s="1"/>
  <c r="H49" i="59"/>
  <c r="H50" i="59" s="1"/>
  <c r="O49" i="54"/>
  <c r="O50" i="54" s="1"/>
  <c r="O65" i="54"/>
  <c r="O66" i="54" s="1"/>
  <c r="H36" i="59"/>
  <c r="H37" i="59" s="1"/>
  <c r="O36" i="54"/>
  <c r="O37" i="54" s="1"/>
  <c r="H15" i="59"/>
  <c r="H16" i="59" s="1"/>
  <c r="O15" i="54"/>
  <c r="O16" i="54" s="1"/>
  <c r="H65" i="59"/>
  <c r="H66" i="59" s="1"/>
  <c r="I8" i="7"/>
  <c r="J8" i="7" s="1"/>
  <c r="H79" i="1" s="1"/>
  <c r="F25" i="3"/>
  <c r="G25" i="3" s="1"/>
  <c r="G39" i="3" s="1"/>
  <c r="H147" i="1" s="1"/>
  <c r="J25" i="39"/>
  <c r="I31" i="7"/>
  <c r="J31" i="7" s="1"/>
  <c r="H215" i="1" s="1"/>
  <c r="H30" i="1"/>
  <c r="A61" i="1"/>
  <c r="A62" i="1" s="1"/>
  <c r="F60" i="1"/>
  <c r="Q68" i="62" l="1"/>
  <c r="J68" i="64"/>
  <c r="Q39" i="62"/>
  <c r="J39" i="64"/>
  <c r="H39" i="58"/>
  <c r="J66" i="59"/>
  <c r="H8" i="58"/>
  <c r="J16" i="59"/>
  <c r="H17" i="58"/>
  <c r="J37" i="59"/>
  <c r="H30" i="58"/>
  <c r="J50" i="59"/>
  <c r="O41" i="53"/>
  <c r="Q66" i="54"/>
  <c r="Q50" i="54"/>
  <c r="O32" i="53"/>
  <c r="O8" i="53"/>
  <c r="Q16" i="54"/>
  <c r="O17" i="53"/>
  <c r="Q37" i="54"/>
  <c r="H149" i="1"/>
  <c r="M19" i="38"/>
  <c r="H224" i="1"/>
  <c r="J37" i="39"/>
  <c r="J26" i="39"/>
  <c r="L26" i="39" s="1"/>
  <c r="A64" i="1"/>
  <c r="F64" i="1"/>
  <c r="F62" i="1"/>
  <c r="Q68" i="54" l="1"/>
  <c r="L455" i="52"/>
  <c r="L456" i="52" s="1"/>
  <c r="L869" i="52"/>
  <c r="L870" i="52" s="1"/>
  <c r="L938" i="52"/>
  <c r="L939" i="52" s="1"/>
  <c r="L524" i="52"/>
  <c r="L525" i="52" s="1"/>
  <c r="L593" i="52"/>
  <c r="L594" i="52" s="1"/>
  <c r="L662" i="52"/>
  <c r="L663" i="52" s="1"/>
  <c r="L248" i="52"/>
  <c r="L249" i="52" s="1"/>
  <c r="L317" i="52"/>
  <c r="L318" i="52" s="1"/>
  <c r="L800" i="52"/>
  <c r="L801" i="52" s="1"/>
  <c r="L731" i="52"/>
  <c r="L732" i="52" s="1"/>
  <c r="L386" i="52"/>
  <c r="L387" i="52" s="1"/>
  <c r="J68" i="59"/>
  <c r="H37" i="58"/>
  <c r="J30" i="58"/>
  <c r="J37" i="58" s="1"/>
  <c r="H24" i="58"/>
  <c r="J17" i="58"/>
  <c r="J24" i="58" s="1"/>
  <c r="H15" i="58"/>
  <c r="J8" i="58"/>
  <c r="J15" i="58" s="1"/>
  <c r="J39" i="59"/>
  <c r="H46" i="58"/>
  <c r="J39" i="58"/>
  <c r="J46" i="58" s="1"/>
  <c r="Q39" i="54"/>
  <c r="O24" i="53"/>
  <c r="Q17" i="53"/>
  <c r="Q24" i="53" s="1"/>
  <c r="Q8" i="53"/>
  <c r="Q15" i="53" s="1"/>
  <c r="O15" i="53"/>
  <c r="O39" i="53"/>
  <c r="Q32" i="53"/>
  <c r="Q39" i="53" s="1"/>
  <c r="O48" i="53"/>
  <c r="Q41" i="53"/>
  <c r="Q48" i="53" s="1"/>
  <c r="J50" i="39"/>
  <c r="J51" i="39" s="1"/>
  <c r="L51" i="39" s="1"/>
  <c r="J38" i="39"/>
  <c r="L38" i="39" s="1"/>
  <c r="M21" i="38"/>
  <c r="O21" i="38" s="1"/>
  <c r="O19" i="38"/>
  <c r="L179" i="52"/>
  <c r="L180" i="52" s="1"/>
  <c r="H239" i="1"/>
  <c r="A66" i="1"/>
  <c r="F66" i="1"/>
  <c r="L53" i="39" l="1"/>
  <c r="H71" i="1" s="1"/>
  <c r="Q54" i="53"/>
  <c r="H75" i="1" s="1"/>
  <c r="J28" i="58"/>
  <c r="H218" i="1" s="1"/>
  <c r="J50" i="58"/>
  <c r="H219" i="1" s="1"/>
  <c r="Q30" i="53"/>
  <c r="H74" i="1" s="1"/>
  <c r="O23" i="38"/>
  <c r="H93" i="1" s="1"/>
  <c r="A71" i="1"/>
  <c r="F29" i="1"/>
  <c r="F233" i="1"/>
  <c r="H220" i="1" l="1"/>
  <c r="H222" i="1" s="1"/>
  <c r="H76" i="1"/>
  <c r="A79" i="1"/>
  <c r="A8" i="7" l="1"/>
  <c r="A82" i="1"/>
  <c r="A83" i="1" l="1"/>
  <c r="A84" i="1" s="1"/>
  <c r="A85" i="1" l="1"/>
  <c r="A86" i="1" s="1"/>
  <c r="F86" i="1"/>
  <c r="F84" i="1"/>
  <c r="A89" i="1" l="1"/>
  <c r="A90" i="1" l="1"/>
  <c r="A91" i="1" s="1"/>
  <c r="A93" i="1" l="1"/>
  <c r="A95" i="1" s="1"/>
  <c r="F91" i="1"/>
  <c r="F95" i="1" l="1"/>
  <c r="A97" i="1"/>
  <c r="F234" i="1"/>
  <c r="F97" i="1"/>
  <c r="A108" i="1" l="1"/>
  <c r="F235" i="1"/>
  <c r="A45" i="7" l="1"/>
  <c r="A109" i="1"/>
  <c r="A47" i="7" l="1"/>
  <c r="A110" i="1"/>
  <c r="A111" i="1" s="1"/>
  <c r="A49" i="7" l="1"/>
  <c r="A112" i="1"/>
  <c r="A115" i="1" l="1"/>
  <c r="A116" i="1" l="1"/>
  <c r="A117" i="1" s="1"/>
  <c r="A118" i="1" s="1"/>
  <c r="A119" i="1" s="1"/>
  <c r="A120" i="1" s="1"/>
  <c r="A121" i="1" s="1"/>
  <c r="F121" i="1" l="1"/>
  <c r="A122" i="1"/>
  <c r="A123" i="1" s="1"/>
  <c r="F123" i="1" l="1"/>
  <c r="A126" i="1"/>
  <c r="A127" i="1" l="1"/>
  <c r="F128" i="1" s="1"/>
  <c r="A20" i="7"/>
  <c r="A128" i="1" l="1"/>
  <c r="A25" i="7"/>
  <c r="A130" i="1" l="1"/>
  <c r="F130" i="1"/>
  <c r="F89" i="1" l="1"/>
  <c r="F237" i="1"/>
  <c r="A135" i="1"/>
  <c r="A137" i="1" l="1"/>
  <c r="A138" i="1" l="1"/>
  <c r="A139" i="1" s="1"/>
  <c r="A140" i="1" l="1"/>
  <c r="A141" i="1" s="1"/>
  <c r="F141" i="1"/>
  <c r="F139" i="1"/>
  <c r="A143" i="1" l="1"/>
  <c r="F143" i="1"/>
  <c r="A147" i="1" l="1"/>
  <c r="F238" i="1"/>
  <c r="A149" i="1" l="1"/>
  <c r="F149" i="1"/>
  <c r="A154" i="1" l="1"/>
  <c r="A156" i="1" s="1"/>
  <c r="A159" i="1" s="1"/>
  <c r="F239" i="1"/>
  <c r="A160" i="1" l="1"/>
  <c r="A161" i="1" s="1"/>
  <c r="A162" i="1" s="1"/>
  <c r="A163" i="1" s="1"/>
  <c r="A166" i="1" s="1"/>
  <c r="A167" i="1" l="1"/>
  <c r="A168" i="1" s="1"/>
  <c r="A169" i="1" s="1"/>
  <c r="A171" i="1" s="1"/>
  <c r="F163" i="1"/>
  <c r="A172" i="1" l="1"/>
  <c r="F169" i="1"/>
  <c r="A173" i="1" l="1"/>
  <c r="A175" i="1" l="1"/>
  <c r="A176" i="1" l="1"/>
  <c r="F179" i="1"/>
  <c r="A177" i="1" l="1"/>
  <c r="F180" i="1"/>
  <c r="A179" i="1" l="1"/>
  <c r="F181" i="1"/>
  <c r="A180" i="1" l="1"/>
  <c r="A181" i="1" s="1"/>
  <c r="A182" i="1" s="1"/>
  <c r="F182" i="1"/>
  <c r="A184" i="1" l="1"/>
  <c r="F184" i="1"/>
  <c r="A208" i="1" l="1"/>
  <c r="A209" i="1" s="1"/>
  <c r="A210" i="1" s="1"/>
  <c r="A211" i="1" s="1"/>
  <c r="A212" i="1" s="1"/>
  <c r="F240" i="1"/>
  <c r="F226" i="1" l="1"/>
  <c r="A215" i="1"/>
  <c r="A224" i="1" l="1"/>
  <c r="A226" i="1" s="1"/>
  <c r="A31" i="7"/>
  <c r="A228" i="1" l="1"/>
  <c r="F241" i="1" l="1"/>
  <c r="A233" i="1"/>
  <c r="A234" i="1" s="1"/>
  <c r="A235" i="1" s="1"/>
  <c r="A237" i="1" s="1"/>
  <c r="A238" i="1" l="1"/>
  <c r="A239" i="1" s="1"/>
  <c r="A240" i="1" s="1"/>
  <c r="A241" i="1" s="1"/>
  <c r="A243" i="1" s="1"/>
  <c r="A246" i="1" l="1"/>
  <c r="F250" i="1"/>
  <c r="F243" i="1"/>
  <c r="A247" i="1" l="1"/>
  <c r="F248" i="1"/>
  <c r="A248" i="1" l="1"/>
  <c r="A38" i="7"/>
  <c r="F249" i="1" l="1"/>
  <c r="A249" i="1"/>
  <c r="A250" i="1" l="1"/>
  <c r="A251" i="1" s="1"/>
  <c r="F251" i="1"/>
  <c r="A254" i="1" l="1"/>
  <c r="A258" i="1" s="1"/>
  <c r="F258" i="1"/>
  <c r="J20" i="7" l="1"/>
  <c r="H126" i="1" s="1"/>
  <c r="H128" i="1" l="1"/>
  <c r="H130" i="1" l="1"/>
  <c r="L793" i="52" l="1"/>
  <c r="L794" i="52" s="1"/>
  <c r="L862" i="52"/>
  <c r="L863" i="52" s="1"/>
  <c r="L241" i="52"/>
  <c r="L242" i="52" s="1"/>
  <c r="L586" i="52"/>
  <c r="L587" i="52" s="1"/>
  <c r="L310" i="52"/>
  <c r="L311" i="52" s="1"/>
  <c r="L172" i="52"/>
  <c r="L173" i="52" s="1"/>
  <c r="H237" i="1"/>
  <c r="L379" i="52"/>
  <c r="L380" i="52" s="1"/>
  <c r="L517" i="52"/>
  <c r="L518" i="52" s="1"/>
  <c r="L724" i="52"/>
  <c r="L725" i="52" s="1"/>
  <c r="L448" i="52"/>
  <c r="L449" i="52" s="1"/>
  <c r="L931" i="52"/>
  <c r="L932" i="52" s="1"/>
  <c r="L655" i="52"/>
  <c r="L656" i="52" s="1"/>
  <c r="H89" i="1"/>
  <c r="L11" i="52"/>
  <c r="L13" i="52"/>
  <c r="L14" i="52"/>
  <c r="L17" i="52"/>
  <c r="L18" i="52"/>
  <c r="L19" i="52"/>
  <c r="L9" i="52"/>
  <c r="L16" i="52"/>
  <c r="L15" i="52"/>
  <c r="L12" i="52"/>
  <c r="L10" i="52"/>
  <c r="H91" i="1" l="1"/>
  <c r="H95" i="1" l="1"/>
  <c r="K16" i="52"/>
  <c r="M16" i="52" s="1"/>
  <c r="K15" i="52"/>
  <c r="M15" i="52" s="1"/>
  <c r="K19" i="52"/>
  <c r="M19" i="52" s="1"/>
  <c r="K10" i="52"/>
  <c r="M10" i="52" s="1"/>
  <c r="K17" i="52"/>
  <c r="M17" i="52" s="1"/>
  <c r="K14" i="52"/>
  <c r="M14" i="52" s="1"/>
  <c r="K13" i="52"/>
  <c r="M13" i="52" s="1"/>
  <c r="K9" i="52"/>
  <c r="M9" i="52" s="1"/>
  <c r="K18" i="52"/>
  <c r="M18" i="52" s="1"/>
  <c r="K11" i="52"/>
  <c r="M11" i="52" s="1"/>
  <c r="K12" i="52"/>
  <c r="M12" i="52" s="1"/>
  <c r="L160" i="52" l="1"/>
  <c r="L161" i="52" s="1"/>
  <c r="L162" i="52" s="1"/>
  <c r="H97" i="1"/>
  <c r="L712" i="52"/>
  <c r="L713" i="52" s="1"/>
  <c r="L714" i="52" s="1"/>
  <c r="L716" i="52" s="1"/>
  <c r="L850" i="52"/>
  <c r="L851" i="52" s="1"/>
  <c r="L852" i="52" s="1"/>
  <c r="L854" i="52" s="1"/>
  <c r="L505" i="52"/>
  <c r="L506" i="52" s="1"/>
  <c r="L507" i="52" s="1"/>
  <c r="L509" i="52" s="1"/>
  <c r="L229" i="52"/>
  <c r="L230" i="52" s="1"/>
  <c r="L231" i="52" s="1"/>
  <c r="L233" i="52" s="1"/>
  <c r="L574" i="52"/>
  <c r="L575" i="52" s="1"/>
  <c r="L576" i="52" s="1"/>
  <c r="L578" i="52" s="1"/>
  <c r="L643" i="52"/>
  <c r="L644" i="52" s="1"/>
  <c r="L645" i="52" s="1"/>
  <c r="L647" i="52" s="1"/>
  <c r="L298" i="52"/>
  <c r="L299" i="52" s="1"/>
  <c r="L300" i="52" s="1"/>
  <c r="L302" i="52" s="1"/>
  <c r="L367" i="52"/>
  <c r="L368" i="52" s="1"/>
  <c r="L369" i="52" s="1"/>
  <c r="L371" i="52" s="1"/>
  <c r="L781" i="52"/>
  <c r="L782" i="52" s="1"/>
  <c r="L783" i="52" s="1"/>
  <c r="L785" i="52" s="1"/>
  <c r="L436" i="52"/>
  <c r="L437" i="52" s="1"/>
  <c r="L438" i="52" s="1"/>
  <c r="L440" i="52" s="1"/>
  <c r="L919" i="52"/>
  <c r="L920" i="52" s="1"/>
  <c r="L921" i="52" s="1"/>
  <c r="L923" i="52" s="1"/>
  <c r="H234" i="1"/>
  <c r="H235" i="1" l="1"/>
  <c r="H184" i="1"/>
  <c r="L164" i="52"/>
  <c r="L191" i="52"/>
  <c r="L8" i="52" s="1"/>
  <c r="L61" i="52" s="1"/>
  <c r="L128" i="52" s="1"/>
  <c r="H226" i="1" l="1"/>
  <c r="H240" i="1"/>
  <c r="H228" i="1" l="1"/>
  <c r="L459" i="52" l="1"/>
  <c r="L460" i="52" s="1"/>
  <c r="L462" i="52" s="1"/>
  <c r="L423" i="52" s="1"/>
  <c r="L467" i="52" s="1"/>
  <c r="L469" i="52" s="1"/>
  <c r="L873" i="52"/>
  <c r="L874" i="52" s="1"/>
  <c r="L876" i="52" s="1"/>
  <c r="L837" i="52" s="1"/>
  <c r="L881" i="52" s="1"/>
  <c r="L883" i="52" s="1"/>
  <c r="L183" i="52"/>
  <c r="L184" i="52" s="1"/>
  <c r="L186" i="52" s="1"/>
  <c r="L804" i="52"/>
  <c r="L805" i="52" s="1"/>
  <c r="L807" i="52" s="1"/>
  <c r="L768" i="52" s="1"/>
  <c r="L812" i="52" s="1"/>
  <c r="L814" i="52" s="1"/>
  <c r="L735" i="52"/>
  <c r="L736" i="52" s="1"/>
  <c r="L738" i="52" s="1"/>
  <c r="L699" i="52" s="1"/>
  <c r="L743" i="52" s="1"/>
  <c r="L745" i="52" s="1"/>
  <c r="L390" i="52"/>
  <c r="L391" i="52" s="1"/>
  <c r="L393" i="52" s="1"/>
  <c r="L354" i="52" s="1"/>
  <c r="L398" i="52" s="1"/>
  <c r="L400" i="52" s="1"/>
  <c r="L666" i="52"/>
  <c r="L667" i="52" s="1"/>
  <c r="L669" i="52" s="1"/>
  <c r="L630" i="52" s="1"/>
  <c r="L674" i="52" s="1"/>
  <c r="L676" i="52" s="1"/>
  <c r="L252" i="52"/>
  <c r="L253" i="52" s="1"/>
  <c r="L255" i="52" s="1"/>
  <c r="L216" i="52" s="1"/>
  <c r="L260" i="52" s="1"/>
  <c r="L262" i="52" s="1"/>
  <c r="L597" i="52"/>
  <c r="L598" i="52" s="1"/>
  <c r="L600" i="52" s="1"/>
  <c r="L561" i="52" s="1"/>
  <c r="L605" i="52" s="1"/>
  <c r="L607" i="52" s="1"/>
  <c r="L528" i="52"/>
  <c r="L529" i="52" s="1"/>
  <c r="L531" i="52" s="1"/>
  <c r="L492" i="52" s="1"/>
  <c r="L536" i="52" s="1"/>
  <c r="L538" i="52" s="1"/>
  <c r="H241" i="1"/>
  <c r="L321" i="52"/>
  <c r="L322" i="52" s="1"/>
  <c r="L324" i="52" s="1"/>
  <c r="L285" i="52" s="1"/>
  <c r="L329" i="52" s="1"/>
  <c r="L331" i="52" s="1"/>
  <c r="L942" i="52"/>
  <c r="L943" i="52" s="1"/>
  <c r="L945" i="52" s="1"/>
  <c r="L906" i="52" s="1"/>
  <c r="L950" i="52" s="1"/>
  <c r="L952" i="52" s="1"/>
  <c r="H243" i="1" l="1"/>
  <c r="K8" i="52"/>
  <c r="L193" i="52"/>
  <c r="H250" i="1" l="1"/>
  <c r="H251" i="1" s="1"/>
  <c r="K61" i="52"/>
  <c r="K128" i="52" s="1"/>
  <c r="D21" i="5" s="1"/>
  <c r="D25" i="5" s="1"/>
  <c r="H254" i="1" s="1"/>
  <c r="M8" i="52"/>
  <c r="H256" i="1" l="1"/>
  <c r="H258" i="1" s="1"/>
  <c r="H262" i="1" s="1"/>
  <c r="M61" i="52"/>
  <c r="M128" i="52" s="1"/>
  <c r="N8" i="52" l="1"/>
  <c r="N9" i="52"/>
  <c r="O9" i="52" s="1"/>
  <c r="N10" i="52"/>
  <c r="O10" i="52" s="1"/>
  <c r="N13" i="52"/>
  <c r="O13" i="52" s="1"/>
  <c r="N11" i="52"/>
  <c r="O11" i="52" s="1"/>
  <c r="N14" i="52"/>
  <c r="O14" i="52" s="1"/>
  <c r="N18" i="52"/>
  <c r="O18" i="52" s="1"/>
  <c r="N19" i="52"/>
  <c r="O19" i="52" s="1"/>
  <c r="N12" i="52"/>
  <c r="O12" i="52" s="1"/>
  <c r="N15" i="52"/>
  <c r="O15" i="52" s="1"/>
  <c r="N16" i="52"/>
  <c r="O16" i="52" s="1"/>
  <c r="N17" i="52"/>
  <c r="O17" i="52" s="1"/>
  <c r="N61" i="52" l="1"/>
  <c r="N128" i="52" s="1"/>
  <c r="O8" i="52"/>
  <c r="O61" i="52" s="1"/>
  <c r="O128" i="52" s="1"/>
</calcChain>
</file>

<file path=xl/sharedStrings.xml><?xml version="1.0" encoding="utf-8"?>
<sst xmlns="http://schemas.openxmlformats.org/spreadsheetml/2006/main" count="3902" uniqueCount="1785">
  <si>
    <t>p200.21.c  [From Inputs, Pg. 1, Ln. 30]</t>
  </si>
  <si>
    <t>ITC Adjustment x 1 / (1-T)</t>
  </si>
  <si>
    <t>(T/1-T) * Investment Return * (1-(WCLTD/ROR)) =</t>
  </si>
  <si>
    <t>[From ATT-5, Ln. 37]</t>
  </si>
  <si>
    <t>[From ATT-4, Line 3, Col. C]</t>
  </si>
  <si>
    <t>[From ATT-5, Ln. 49]</t>
  </si>
  <si>
    <t>[From ATT-5, Ln. 50]</t>
  </si>
  <si>
    <t>[From ATT-5, Ln. 52]</t>
  </si>
  <si>
    <t>[From ATT-5, Ln. 63]</t>
  </si>
  <si>
    <t>[From ATT-5, Ln. 64]</t>
  </si>
  <si>
    <t>Data Entered Directly From FERC Form No. 1 ("FF1"):</t>
  </si>
  <si>
    <t>FF1</t>
  </si>
  <si>
    <t>FF1 Page # or Instruction</t>
  </si>
  <si>
    <t>Includes Regulatory Commission Expenses directly related to transmission service, RTO filings, or transmission siting; as itemized on ATT-5, Ln. 63.</t>
  </si>
  <si>
    <t>Real and Personal Property (State, Municipal or Local) -Current FF1 Year</t>
  </si>
  <si>
    <r>
      <t>Note 2</t>
    </r>
    <r>
      <rPr>
        <sz val="10"/>
        <rFont val="Arial"/>
        <family val="2"/>
      </rPr>
      <t>:    If the costs associated with Directly Assigned Transmission Facility Charges are included in this TFR, the associated revenues will be included in this TFR.  If the costs associated with the Directly Assigned Transmission Facility Charges are not included in this TFR, the associated revenues will not be included in this TFR.</t>
    </r>
  </si>
  <si>
    <t>Conformation [FF1, Pg. 112, Ln. 28, Col. c] [From Inputs, Pg. 1, Ln. 22]</t>
  </si>
  <si>
    <t>FF1 Amount</t>
  </si>
  <si>
    <t>FF1, Pg. 112, Ln. 16, Col. d. [From Inputs, Pg. 1, Ln. 9]</t>
  </si>
  <si>
    <t>FF1, Pg. 112, Ln. 16, Col. c. [From Inputs, Pg. 1, Ln. 8]</t>
  </si>
  <si>
    <t>FF1, Pg. 112, Ln. 15, Col. d. [From Inputs, Pg. 1, Ln. 7]</t>
  </si>
  <si>
    <t>FF1, Pg. 112, Ln. 15, Col. c. [From Inputs, Pg. 1, Ln. 6]</t>
  </si>
  <si>
    <t>The Acct 207 dollars included in FF1, Pg. 112, Ln. 6, Col. d that are associated with Premium on Preferred Stock; as derived from the Company's Books and Records.</t>
  </si>
  <si>
    <t>The Acct 207 dollars included in FF1, Pg. 112, Ln. 6, Col. c that are associated with Premium on Preferred Stock; as derived from the Company's Books and Records.</t>
  </si>
  <si>
    <t>The Acct 213 dollars included in FF1, Pg. 112, Ln. 9, Col. d that are associated with Discount on Preferred Stock; as derived from the Company's Books and Records.</t>
  </si>
  <si>
    <t>The Acct 213 dollars included in FF1, Pg. 112, Ln. 9, Col. c that are associated with Discount on Preferred Stock; as derived from the Company's Books and Records.</t>
  </si>
  <si>
    <t>The Acct 210 dollars included in FF1, Pg. 253, Col. b that are associated with the Gains/(Losses) on Reacquired Preferred Stock; as derived from the Company's Books and Records.</t>
  </si>
  <si>
    <t>The Acct 208-211 dollars included in FF1, Pg. 112, Ln. 7, Col. d that are associated with the Other Paid-In Capital on Preferred Stock; as derived from the Company's Books and Records.</t>
  </si>
  <si>
    <t>The Acct 208-211 dollars included in FF1, Pg. 112, Ln. 7, Col. c that are associated with the Other Paid-In Capital on Preferred Stock; as derived from the Company's Books and Records.</t>
  </si>
  <si>
    <t>FF1, Pg. 112, Line 20, Col d. [From Inputs, Pg. 1, Ln. 15]</t>
  </si>
  <si>
    <t>[From ATT-2, Pg. 1, Ln. 14]</t>
  </si>
  <si>
    <t>[From ATT-7, Pg. 1, Ln. 3, Col. A]</t>
  </si>
  <si>
    <t>[From ATT-7, Pg. 1, Ln. 3, Col. F]</t>
  </si>
  <si>
    <t>[From ATT-8, Pg. 1, Ln. 3, Col. F]</t>
  </si>
  <si>
    <t>[From ATT-7, Pg. 1, Ln. 3, Col. G]</t>
  </si>
  <si>
    <t xml:space="preserve">[From ATT-6, Pg. 1, Ln. 1, Col A] </t>
  </si>
  <si>
    <t xml:space="preserve">[From ATT-6, Pg. 1, Ln. 2, Col A] </t>
  </si>
  <si>
    <t>[From ATT-6, Pg. 1, Ln. 3, Col A]</t>
  </si>
  <si>
    <t>[From ATT-5, Ln. 103]</t>
  </si>
  <si>
    <t>[From ATT-5, Ln. 117]</t>
  </si>
  <si>
    <t xml:space="preserve">Total </t>
  </si>
  <si>
    <t>Allocator [EX-col. B, DIR-col. C, GP-col. D, SW-col. E]</t>
  </si>
  <si>
    <t>Page 1 of 3</t>
  </si>
  <si>
    <t>Page 2 of 3</t>
  </si>
  <si>
    <t>266.8f</t>
  </si>
  <si>
    <t>From ATT 8, Ln. 1, Col. A.</t>
  </si>
  <si>
    <t>From ATT 8, Ln. 2, Col. A.</t>
  </si>
  <si>
    <t>From ATT 8, Ln. 1; Col. B + Col. C.</t>
  </si>
  <si>
    <t>From ATT 8, Ln. 2; Col. B + Col. C.</t>
  </si>
  <si>
    <t>From ATT 8, Ln. 1, Col. D.</t>
  </si>
  <si>
    <t>From ATT 8, Ln. 2, Col. D.</t>
  </si>
  <si>
    <t>From ATT 8, Ln. 1, Col. E.</t>
  </si>
  <si>
    <t>From ATT 8, Ln. 2, Col. E.</t>
  </si>
  <si>
    <t>Note (3): From ATT 7, Pg. 1, Ln. 4.</t>
  </si>
  <si>
    <r>
      <t xml:space="preserve">Avg of B of Yr and E of Yr Pref Stock </t>
    </r>
    <r>
      <rPr>
        <sz val="10"/>
        <rFont val="Arial"/>
        <family val="2"/>
      </rPr>
      <t>[To ATT 6, Pg. 1, Col. A, Ln. 2]:</t>
    </r>
  </si>
  <si>
    <t>From Tax Department</t>
  </si>
  <si>
    <t>Total Plant Related  [GP Allocator from Appendix A, Ln. 12]</t>
  </si>
  <si>
    <t>Appendix A - Ln.69</t>
  </si>
  <si>
    <t>Appendix A - Ln. 69</t>
  </si>
  <si>
    <t>112.3d</t>
  </si>
  <si>
    <t>112.19d</t>
  </si>
  <si>
    <t xml:space="preserve">Account </t>
  </si>
  <si>
    <t>Page 3 of 3</t>
  </si>
  <si>
    <t>Note (9):</t>
  </si>
  <si>
    <t xml:space="preserve">FERC Reserve Acct </t>
  </si>
  <si>
    <t>Note (8):</t>
  </si>
  <si>
    <t>Note (7):</t>
  </si>
  <si>
    <t>Note (6):</t>
  </si>
  <si>
    <t>Note (5):</t>
  </si>
  <si>
    <t>Note (4):</t>
  </si>
  <si>
    <t>Note (3):</t>
  </si>
  <si>
    <t xml:space="preserve">Note (2): </t>
  </si>
  <si>
    <t xml:space="preserve">Note (1):  </t>
  </si>
  <si>
    <t>[Note (10)]</t>
  </si>
  <si>
    <t>[Note (8)]</t>
  </si>
  <si>
    <t>[Note (9)]</t>
  </si>
  <si>
    <t>[Note (7)]</t>
  </si>
  <si>
    <t>Col E</t>
  </si>
  <si>
    <t>Date</t>
  </si>
  <si>
    <t>Data Source</t>
  </si>
  <si>
    <t>Accts 208 - 211</t>
  </si>
  <si>
    <t>Acct 210</t>
  </si>
  <si>
    <t>Acct 213</t>
  </si>
  <si>
    <t>Acct 207</t>
  </si>
  <si>
    <t>Acct 204</t>
  </si>
  <si>
    <t>Total Outstanding</t>
  </si>
  <si>
    <t>Other Paid-In Capital - Preferred</t>
  </si>
  <si>
    <t>Gain/(Loss) On Reaq'd Pref Stock</t>
  </si>
  <si>
    <t>Discount on Preferred Stock</t>
  </si>
  <si>
    <t>Premium on Preferred Stock</t>
  </si>
  <si>
    <t xml:space="preserve">Preferred Stock </t>
  </si>
  <si>
    <t>Page 2 of 2</t>
  </si>
  <si>
    <t>9.</t>
  </si>
  <si>
    <t>8.</t>
  </si>
  <si>
    <t>TOTAL LTD Interest Amount</t>
  </si>
  <si>
    <t>7.</t>
  </si>
  <si>
    <t>6.</t>
  </si>
  <si>
    <t>Page 1 of 2</t>
  </si>
  <si>
    <r>
      <t>NET PROCEEDS</t>
    </r>
    <r>
      <rPr>
        <sz val="10"/>
        <rFont val="Arial"/>
        <family val="2"/>
      </rPr>
      <t xml:space="preserve"> (Avg of Beg of Yr and End of Yr LTD):</t>
    </r>
  </si>
  <si>
    <t>Labor Related:</t>
  </si>
  <si>
    <t>Plant Related:</t>
  </si>
  <si>
    <t>OTHER TAXES:</t>
  </si>
  <si>
    <r>
      <t xml:space="preserve">Total </t>
    </r>
    <r>
      <rPr>
        <sz val="10"/>
        <rFont val="Arial"/>
        <family val="2"/>
      </rPr>
      <t>(Ln. 1 + Ln. 2) [Appendix A, Pg. 1, Ln. 46]</t>
    </r>
  </si>
  <si>
    <t>13.</t>
  </si>
  <si>
    <t>12.</t>
  </si>
  <si>
    <t>11.</t>
  </si>
  <si>
    <t>Gross Proceeds [From Line 3, above]</t>
  </si>
  <si>
    <t>10.</t>
  </si>
  <si>
    <t>Avg of Beg &amp; End of Yr Discounts</t>
  </si>
  <si>
    <t>Avg of Beg &amp; End of Yr Premiums</t>
  </si>
  <si>
    <t xml:space="preserve">Date </t>
  </si>
  <si>
    <t xml:space="preserve">NET PROCEEDS </t>
  </si>
  <si>
    <t>Note (2):</t>
  </si>
  <si>
    <t>Note (1):</t>
  </si>
  <si>
    <t>Acct 224</t>
  </si>
  <si>
    <t>Acct 222</t>
  </si>
  <si>
    <t>Acct 221</t>
  </si>
  <si>
    <t>Acct 223</t>
  </si>
  <si>
    <t>Total Long Term Debt Outstanding</t>
  </si>
  <si>
    <t>Other Long Term Debt</t>
  </si>
  <si>
    <t>Reacquired Bonds</t>
  </si>
  <si>
    <t>Bonds</t>
  </si>
  <si>
    <t>Advances from Associated Company LTD</t>
  </si>
  <si>
    <t>GROSS PROCEEDS - LTD OUTSTANDING</t>
  </si>
  <si>
    <t>Description of Reserve:</t>
  </si>
  <si>
    <t>COL. C</t>
  </si>
  <si>
    <t>COL. B</t>
  </si>
  <si>
    <t>Attachment 1 - ACCUMULATED DEFERRED INCOME TAXES ACCOUNT 190</t>
  </si>
  <si>
    <t>(Col. C = Col. A x Col. B)</t>
  </si>
  <si>
    <t>Allocator  NP</t>
  </si>
  <si>
    <t>Attachment 4, NON-ESCROWED FUNDS</t>
  </si>
  <si>
    <t>Attachment 6, WEIGHTED AVERAGE COST OF CAPITAL</t>
  </si>
  <si>
    <t>Attachment 6</t>
  </si>
  <si>
    <t>Attachment 8</t>
  </si>
  <si>
    <t>Attachment 7</t>
  </si>
  <si>
    <t>Attachment 9</t>
  </si>
  <si>
    <t>COL. A</t>
  </si>
  <si>
    <t>Working Capital Adjustment</t>
  </si>
  <si>
    <t>Non-Escrowed Funds</t>
  </si>
  <si>
    <t>Gross Revenue Requirement</t>
  </si>
  <si>
    <t>p</t>
  </si>
  <si>
    <t>Notes</t>
  </si>
  <si>
    <t>Allocator</t>
  </si>
  <si>
    <t>T</t>
  </si>
  <si>
    <t xml:space="preserve">    Less Regulatory Commission Exp Account 928</t>
  </si>
  <si>
    <t>Col B = Col A/Col A Total</t>
  </si>
  <si>
    <t>Col D = Col B x Col C</t>
  </si>
  <si>
    <t xml:space="preserve">    Less General Advertising Exp Account 930.1</t>
  </si>
  <si>
    <t>Regulatory Commission Exp Account 928</t>
  </si>
  <si>
    <t>Debt %</t>
  </si>
  <si>
    <t>Common %</t>
  </si>
  <si>
    <t>Debt Cost</t>
  </si>
  <si>
    <t>Common Cost</t>
  </si>
  <si>
    <t>Weighted Cost of Debt</t>
  </si>
  <si>
    <t>Weighted Cost of Common</t>
  </si>
  <si>
    <t>Preferred %</t>
  </si>
  <si>
    <t>Preferred Cost</t>
  </si>
  <si>
    <t>Rate of Return on Rate Base ( ROR )</t>
  </si>
  <si>
    <t>Undistributed Stores Expense</t>
  </si>
  <si>
    <t>Other Electric Revenues (Note 1)</t>
  </si>
  <si>
    <r>
      <t xml:space="preserve">Average Cost Rate </t>
    </r>
    <r>
      <rPr>
        <sz val="10"/>
        <rFont val="Arial"/>
        <family val="2"/>
      </rPr>
      <t>[Ln 4 / Ln 3] [To ATT 6, Pg. 1, Col. C, Ln. 2]:</t>
    </r>
  </si>
  <si>
    <t>[To ATT-6, Page 1, Line 3, Col A]</t>
  </si>
  <si>
    <t>Less Account 565</t>
  </si>
  <si>
    <t>Unappropriated Undistributed Subsidiary Earnings</t>
  </si>
  <si>
    <t>Acct 216.1</t>
  </si>
  <si>
    <t>[Note (13)]</t>
  </si>
  <si>
    <t>112.12d</t>
  </si>
  <si>
    <t>[Note (14)]</t>
  </si>
  <si>
    <t>[Note (13)]:</t>
  </si>
  <si>
    <t>[Note (14)]:</t>
  </si>
  <si>
    <t>Note (2): From ATT 8, Pg. 1, Ln. 3.</t>
  </si>
  <si>
    <t>Notes:</t>
  </si>
  <si>
    <t>Note (5): From ATT 8, Pg. 1, Ln. 5.</t>
  </si>
  <si>
    <t>Col H</t>
  </si>
  <si>
    <t>(H=A-B-C-D-E-F-G)</t>
  </si>
  <si>
    <t xml:space="preserve">ADIT </t>
  </si>
  <si>
    <t xml:space="preserve">  To Appendix A, Line 36</t>
  </si>
  <si>
    <t>Column A</t>
  </si>
  <si>
    <t>Column B</t>
  </si>
  <si>
    <t>Column C</t>
  </si>
  <si>
    <t>Pg. 263 &amp; 263.1</t>
  </si>
  <si>
    <r>
      <t xml:space="preserve">Total Included  (Column C, Lines 7 + 13) </t>
    </r>
    <r>
      <rPr>
        <sz val="10"/>
        <rFont val="Arial"/>
        <family val="2"/>
      </rPr>
      <t>[To Appendix A, Line 74]</t>
    </r>
  </si>
  <si>
    <t xml:space="preserve">    Less Accumulated Other Comprehensive Income Account 219</t>
  </si>
  <si>
    <t>Total Net Property, Plant &amp; Equipment</t>
  </si>
  <si>
    <t>Total Adjustment to Rate Base</t>
  </si>
  <si>
    <t>Long Term Interest &amp; Hedging Costs</t>
  </si>
  <si>
    <t>Total Proprietary Capital*</t>
  </si>
  <si>
    <t>Acc Other Comp Income</t>
  </si>
  <si>
    <t>Common Equity Balance</t>
  </si>
  <si>
    <t>Outstanding Balance</t>
  </si>
  <si>
    <t>(% of fed inc tax deductible for state purposes)</t>
  </si>
  <si>
    <t xml:space="preserve">   T=1 - {[(1 - SIT) * (1 - FIT)] / (1 - SIT * FIT * p)} =</t>
  </si>
  <si>
    <t xml:space="preserve">Includes all Regulatory Commission Expenses for all Electric jurisdictions. </t>
  </si>
  <si>
    <t xml:space="preserve">Includes safety-related and load/grid congestion management advertising expense included in Account 909 (Product codes ADAS, ADCS, ADPA).  </t>
  </si>
  <si>
    <t>The purpose of this worksheet is to individually document the value(s) of the non-escrowed reserve funds that will be credited against working capital.  All inputs are derived from the Company's Books and Records, as described.</t>
  </si>
  <si>
    <t>The Worksheets listed below require Input of Data directly into the Worksheets themselves:</t>
  </si>
  <si>
    <t>ITC Adjustment:</t>
  </si>
  <si>
    <t>Regulatory Expense Related to Transmission Cost Support:</t>
  </si>
  <si>
    <t>ATT 5 - Cost Support</t>
  </si>
  <si>
    <t>Revenues from Direct Assigned Transmission Facilities</t>
  </si>
  <si>
    <t>General Description of the Direct Assigned Transmission Facilities</t>
  </si>
  <si>
    <t>Revenues from Directly Assigned Transmission Facilities (ATT 3, Note 2)</t>
  </si>
  <si>
    <t>Adjustments to Transmission O&amp;M:</t>
  </si>
  <si>
    <t>117.67c</t>
  </si>
  <si>
    <t>ATT-9 - LTD, Pg. 2, Ln. 5a</t>
  </si>
  <si>
    <t>Premium (Discount)</t>
  </si>
  <si>
    <t xml:space="preserve">Gains/(Losses) on Reacq'd Preferred Stock </t>
  </si>
  <si>
    <t>Other Paid-In Capital (Preferred Stock)</t>
  </si>
  <si>
    <t>Acct 207, 213-Pfd</t>
  </si>
  <si>
    <t>Acct 219</t>
  </si>
  <si>
    <t>Col F</t>
  </si>
  <si>
    <t>Col G</t>
  </si>
  <si>
    <t>[Note (11)]</t>
  </si>
  <si>
    <t>[Note(4)]</t>
  </si>
  <si>
    <t>[Note (12)]</t>
  </si>
  <si>
    <r>
      <t>Common Equity Balance</t>
    </r>
    <r>
      <rPr>
        <sz val="10"/>
        <rFont val="Arial"/>
        <family val="2"/>
      </rPr>
      <t xml:space="preserve">  [Average of Beg of Yr &amp; End of Yr CE Balance]:</t>
    </r>
  </si>
  <si>
    <t xml:space="preserve">* Includes both Common and Preferred Stock accounts. </t>
  </si>
  <si>
    <t>[Note (1)]:</t>
  </si>
  <si>
    <t>[Note (8)]:</t>
  </si>
  <si>
    <t>[Note (2)]:</t>
  </si>
  <si>
    <t>[Note (9)]:</t>
  </si>
  <si>
    <t>[Note (3)]:</t>
  </si>
  <si>
    <t>[Note (10)]:</t>
  </si>
  <si>
    <t>[Note (4)]:</t>
  </si>
  <si>
    <t>[Note (11)]:</t>
  </si>
  <si>
    <t>[Note (5)]:</t>
  </si>
  <si>
    <t>[Note (12)]:</t>
  </si>
  <si>
    <t>[Note (6)]:</t>
  </si>
  <si>
    <t>[Note (7)]:</t>
  </si>
  <si>
    <t>Attachment 8, PREFERRED STOCK</t>
  </si>
  <si>
    <t>Attachment 7, COMMON STOCK</t>
  </si>
  <si>
    <t>GP Allocator</t>
  </si>
  <si>
    <t>T/D Pole Allocation Factor</t>
  </si>
  <si>
    <t>Gross Distribution Pole/Structure Investment (Acct 364)</t>
  </si>
  <si>
    <t>Gross Transmission Pole/Structure Investment (Accts 354 + 355)</t>
  </si>
  <si>
    <t>Total Pole/Tower Gross Plant</t>
  </si>
  <si>
    <t>Rent from Electric Transmission Property [Line 1 x Line 2]</t>
  </si>
  <si>
    <t>Revenue Credits &amp; Adjustments</t>
  </si>
  <si>
    <t>122a</t>
  </si>
  <si>
    <t>122b</t>
  </si>
  <si>
    <t>Total Revenue Credits and Adjustments</t>
  </si>
  <si>
    <t>Refunds and Surcharges (Adjustments to Gross ATRR)</t>
  </si>
  <si>
    <t>(Line 122 + Line 122a)</t>
  </si>
  <si>
    <t>Rent from Electric Property</t>
  </si>
  <si>
    <t>Line</t>
  </si>
  <si>
    <t>Sheet</t>
  </si>
  <si>
    <t xml:space="preserve">Transmission Related Regulatory Expenses </t>
  </si>
  <si>
    <t>Total Wages Less A&amp;G Wages Expense</t>
  </si>
  <si>
    <t>Wage &amp; Salary Allocator</t>
  </si>
  <si>
    <t>Total Undistributed Stores Expense Allocated to Transmission</t>
  </si>
  <si>
    <t xml:space="preserve">  1/8</t>
  </si>
  <si>
    <t>Operations &amp; Maintenance Expense</t>
  </si>
  <si>
    <t>Revenue Requirement</t>
  </si>
  <si>
    <t xml:space="preserve">Taxes Other than Income Taxes                                                   </t>
  </si>
  <si>
    <t>Taxes Other than Income Taxes</t>
  </si>
  <si>
    <t>Total Taxes Other than Income Taxes</t>
  </si>
  <si>
    <t>Return \ Capitalization Calculations</t>
  </si>
  <si>
    <t>Description</t>
  </si>
  <si>
    <t>Account/Description/Classification</t>
  </si>
  <si>
    <t>End of Year</t>
  </si>
  <si>
    <t>Stores Expense Undistributed (Account 163)</t>
  </si>
  <si>
    <t>EPRI Annual Membership Dues</t>
  </si>
  <si>
    <t>H</t>
  </si>
  <si>
    <t>Source</t>
  </si>
  <si>
    <t xml:space="preserve">Line </t>
  </si>
  <si>
    <t xml:space="preserve">Template Sheet </t>
  </si>
  <si>
    <t>No</t>
  </si>
  <si>
    <t>of the Link</t>
  </si>
  <si>
    <t>112.3c</t>
  </si>
  <si>
    <t>112.12c</t>
  </si>
  <si>
    <t>112.15c</t>
  </si>
  <si>
    <t>112.16c</t>
  </si>
  <si>
    <t>112.18c</t>
  </si>
  <si>
    <t>112.19c</t>
  </si>
  <si>
    <t>112.20c</t>
  </si>
  <si>
    <t>112.21c</t>
  </si>
  <si>
    <t>118.29c</t>
  </si>
  <si>
    <t>Preferred Stock Issued (204) - Beg of Year</t>
  </si>
  <si>
    <t>Preferred Stock Issued (204) - End of Year</t>
  </si>
  <si>
    <t>Accum Other Comp Income (219) - End of Year</t>
  </si>
  <si>
    <t>Accum Other Comp Income (219) - Beginning of Year</t>
  </si>
  <si>
    <t>(Less) Reacquired Bonds (222) - End of Year</t>
  </si>
  <si>
    <t>(Less) Reacquired Bonds (222) - Beginning of Year</t>
  </si>
  <si>
    <t>Advances from Assoc Companies (223) - End of Year</t>
  </si>
  <si>
    <t>Advances from Assoc Companies (223) - Beginning of Year</t>
  </si>
  <si>
    <t>Other Long Term Debt (224) - End of Year</t>
  </si>
  <si>
    <t>Other Long Term Debt (224) - Beginning of Year</t>
  </si>
  <si>
    <t xml:space="preserve">Elec - Taxes Other than Income Taxes (408.1) </t>
  </si>
  <si>
    <t xml:space="preserve">Interest on LTD (427) </t>
  </si>
  <si>
    <t xml:space="preserve">Amort of Debt Disc &amp; Expenses (428) </t>
  </si>
  <si>
    <t xml:space="preserve">Amort of Loss on Reacquired Debt (428.1) </t>
  </si>
  <si>
    <t xml:space="preserve">(less) Amort of Premium on Debt-Credit (429) </t>
  </si>
  <si>
    <t xml:space="preserve">(less) Amort of Gain on Reacquired Debt-Credit (429.1) </t>
  </si>
  <si>
    <t xml:space="preserve">Total Dividends Declared Pref Stock (437) </t>
  </si>
  <si>
    <t xml:space="preserve">Trn Oper Transmission of Elec by Others </t>
  </si>
  <si>
    <t xml:space="preserve">A&amp;G Oper Regulatory Commission Expenses </t>
  </si>
  <si>
    <t xml:space="preserve">A&amp;G Oper General Advertising Expenses </t>
  </si>
  <si>
    <t xml:space="preserve">Total Admin &amp; General Expenses </t>
  </si>
  <si>
    <t xml:space="preserve">Depreciation Exp (403) - Intangible Plant </t>
  </si>
  <si>
    <t>FF1, Pg. 112, Line 20, Col c. [From Inputs, Pg. 1, Ln. 14]</t>
  </si>
  <si>
    <t>FF1, Pg. 112, Ln 19, Col. d. [From Inputs, Pg. 1, Ln. 13]</t>
  </si>
  <si>
    <t>FF1, Pg. 112, Ln 19, Col. c. [From Inputs, Pg. 1, Ln. 12]</t>
  </si>
  <si>
    <t>FF1, Pg. 112, Ln 21, Col. d. [From Inputs, Pg. 1, Ln. 17]</t>
  </si>
  <si>
    <t>FF1, Pg. 112, Ln 21, Col. c. [From Inputs, Pg. 1, Ln. 16]</t>
  </si>
  <si>
    <t xml:space="preserve">LTD COSTS AND EXPENSES (Actual) </t>
  </si>
  <si>
    <t>Amortization of Loss on Reacquired Debt (Acct 428.1)  [FF1, Pg. 117, Ln. 64, Col. c] [From Inputs, Pg. 1, Ln. 26]</t>
  </si>
  <si>
    <t>Less: Amort Premium on Debt Credit (Acct 429) [FF1, Pg. 117, Ln. 65, Col. c] [From Inputs, Pg.1, Ln. 27]</t>
  </si>
  <si>
    <t>Less: Amort Gain on Debt Credit (Acct 429.1) [FF1, Pg. 117, Ln. 66, Col. c] [From Inputs, Pg. 1, Ln. 28]</t>
  </si>
  <si>
    <t>Source of Data</t>
  </si>
  <si>
    <t>Plant Held for Future Use (Account 105) - Total</t>
  </si>
  <si>
    <t>Plant Held for Future Use (Account 105) - Non-Transmission</t>
  </si>
  <si>
    <t>Plant Held for Future Use (Non-Land)  - Transmission Only</t>
  </si>
  <si>
    <t>Land Held for Future Use</t>
  </si>
  <si>
    <t>General Note: Net long-term average debt balance is used as the divisor to determine LTD debt cost rate.  Gross long-term average debt balance is used in the capital structure.</t>
  </si>
  <si>
    <t xml:space="preserve">Depr Exp Asset Retire (403.1) - Intangible Plant </t>
  </si>
  <si>
    <t xml:space="preserve">Amort Lim Term (404) - Intangible Plant </t>
  </si>
  <si>
    <t xml:space="preserve">Amort of Other Intangible Electric Plant (405) </t>
  </si>
  <si>
    <t xml:space="preserve">Depr Exp Asset Retire (403.1) - Transmission Plant </t>
  </si>
  <si>
    <t>Amort Lim Term (404) - Transmission Plant</t>
  </si>
  <si>
    <t xml:space="preserve">Depr Exp Asset Retire (403.1) - General Plant </t>
  </si>
  <si>
    <t xml:space="preserve">Amort Lim Term (404)- General Plant </t>
  </si>
  <si>
    <t xml:space="preserve">Tot Elec O &amp; M  Transmission Direct Payroll </t>
  </si>
  <si>
    <t xml:space="preserve">Tot Elec O &amp; M  Admin &amp; General Direct Payroll </t>
  </si>
  <si>
    <t xml:space="preserve">Total Elec O &amp; M  Direct Payroll </t>
  </si>
  <si>
    <t>Electric portion only.</t>
  </si>
  <si>
    <t>100% Non-Transmission Related</t>
  </si>
  <si>
    <t>100% Transmission Related</t>
  </si>
  <si>
    <t>General</t>
  </si>
  <si>
    <t>Intangible</t>
  </si>
  <si>
    <t>T/D Allocator</t>
  </si>
  <si>
    <t>Appendix A - Ln. 6</t>
  </si>
  <si>
    <t>Appendix A - Ln. 20</t>
  </si>
  <si>
    <t>Appendix A - Ln. 41</t>
  </si>
  <si>
    <t>Appendix A - Ln. 38</t>
  </si>
  <si>
    <t>Appendix A - Ln. 21</t>
  </si>
  <si>
    <t xml:space="preserve">ATT 5 - Cost Support, Ln. 103 </t>
  </si>
  <si>
    <t>ATT 5 - Cost Support, Ln. 49</t>
  </si>
  <si>
    <t>Appendix A - Ln. 58 &amp; ATT - 5, Ln. 63</t>
  </si>
  <si>
    <t>Appendix A - Ln. 54</t>
  </si>
  <si>
    <t>Appendix A - Ln. 67</t>
  </si>
  <si>
    <t>Appendix A - Ln. 68</t>
  </si>
  <si>
    <t>Appendix A - Ln. 1</t>
  </si>
  <si>
    <t>Appendix A - Ln. 3</t>
  </si>
  <si>
    <t>Appendix A - Ln. 2</t>
  </si>
  <si>
    <t>[From ATT-9, Pg. 2, Ln. 6]</t>
  </si>
  <si>
    <t>[From ATT-8, Pg. 1, Ln. 4]</t>
  </si>
  <si>
    <t xml:space="preserve">[From ATT-6, Pg. 1, Ln. 1, Col C] </t>
  </si>
  <si>
    <t xml:space="preserve">[From ATT-6, Pg. 1, Ln. 2, Col C] </t>
  </si>
  <si>
    <t xml:space="preserve">Tax Gross-Up </t>
  </si>
  <si>
    <t>(Line 103 * (1 / (1-Line 101))</t>
  </si>
  <si>
    <r>
      <t xml:space="preserve">Embedded Cost of Long Term Debt [Line 6/Line 7] </t>
    </r>
    <r>
      <rPr>
        <sz val="10"/>
        <rFont val="Arial"/>
        <family val="2"/>
      </rPr>
      <t>[To ATT 6, Pg. 1, Ln. 1, Col. C]</t>
    </r>
  </si>
  <si>
    <t xml:space="preserve"> Page Location</t>
  </si>
  <si>
    <t>Appendix A - Ln. 16</t>
  </si>
  <si>
    <t xml:space="preserve">Appendix A - Ln. 15 </t>
  </si>
  <si>
    <t>Appendix A - Ln. 98</t>
  </si>
  <si>
    <t>Appendix A - Ln. 100</t>
  </si>
  <si>
    <t>ATT 5 - Cost Support, Ln. 64</t>
  </si>
  <si>
    <t>112.22c</t>
  </si>
  <si>
    <t>112.22d</t>
  </si>
  <si>
    <t>112.23c</t>
  </si>
  <si>
    <t>Other taxes that are assessed based on labor will be allocated based on the Wages and Salary Allocator.</t>
  </si>
  <si>
    <t>Weighted Cost of Preferred</t>
  </si>
  <si>
    <t>Accumulated Deferred Income Taxes</t>
  </si>
  <si>
    <t xml:space="preserve">Plant </t>
  </si>
  <si>
    <t>Unappropriated Undistrib Subsid Earnings (216.1) - End of Yr</t>
  </si>
  <si>
    <t>Unappropriated Undistrib Subsid Earnings (216.1) - Beg of Yr</t>
  </si>
  <si>
    <t>General Plant Accumulated Depreciation</t>
  </si>
  <si>
    <t>Accumulated Intangible Amortization (Other Utility Plant)</t>
  </si>
  <si>
    <t>Provision for Injuries and Damages.</t>
  </si>
  <si>
    <t xml:space="preserve">ATT 9 - LTD, Pg. 1, Ln. 2, Col. C </t>
  </si>
  <si>
    <t>ATT 9 - LTD, Pg. 1, Ln. 1, Col. C</t>
  </si>
  <si>
    <t>ATT 9 - LTD, Pg. 1, Ln. 2, Col. A</t>
  </si>
  <si>
    <t>ATT 9 - LTD, Pg. 1, Ln. 2, Col. D</t>
  </si>
  <si>
    <t>ATT 9 - LTD, Pg. 1, Ln. 1, Col. D</t>
  </si>
  <si>
    <t>ATT 9 - LTD, Pg. 1, Ln. 5</t>
  </si>
  <si>
    <t>ATT 9 - LTD, Pg. 1, Ln. 4</t>
  </si>
  <si>
    <t>ATT 9 - LTD, Pg. 1, Ln. 8</t>
  </si>
  <si>
    <t>ATT 9 - LTD, Pg. 1, Ln. 1, Col. A</t>
  </si>
  <si>
    <t>ATT 9 - LTD, Pg. 1, Ln. 7</t>
  </si>
  <si>
    <t>ATT 9 - LTD, Pg. 2, Ln. 2</t>
  </si>
  <si>
    <t>ATT 9 - LTD, Pg. 2, Ln. 3</t>
  </si>
  <si>
    <t>ATT 2 - Other Taxes, Ln. 1</t>
  </si>
  <si>
    <t>ATT 2 - Other Taxes, Ln. 8</t>
  </si>
  <si>
    <t>ATT 2 - Other Taxes, Ln. 9</t>
  </si>
  <si>
    <t>ATT 2 - Other Taxes, Ln. 10</t>
  </si>
  <si>
    <t>ATT 3 - Revenue Credits, Ln. 1</t>
  </si>
  <si>
    <t>Related</t>
  </si>
  <si>
    <t>Labor</t>
  </si>
  <si>
    <t xml:space="preserve">     Plus Charges billed to Transmission Owner and booked to Account 565</t>
  </si>
  <si>
    <t>Attachment 4</t>
  </si>
  <si>
    <t>Col (i)</t>
  </si>
  <si>
    <t>Allocated</t>
  </si>
  <si>
    <t>Amount</t>
  </si>
  <si>
    <t>Details</t>
  </si>
  <si>
    <t>Subtotal General and Intangible Accum. Depreciation Allocated to Transmission</t>
  </si>
  <si>
    <t>Total General and Intangible Plant</t>
  </si>
  <si>
    <t>Total General and Intangible Functionalized to Transmission</t>
  </si>
  <si>
    <t>Allocated Administrative &amp; General Expenses</t>
  </si>
  <si>
    <t>Administrative &amp; General Expenses</t>
  </si>
  <si>
    <t>Administrative &amp; General Expenses Allocated to Transmission</t>
  </si>
  <si>
    <t>General Depreciation &amp; Intangible Amortization Allocated to Transmission</t>
  </si>
  <si>
    <t>General Depreciation Expense Including Amortization of Limited Term Plant</t>
  </si>
  <si>
    <t>F</t>
  </si>
  <si>
    <t>Operation &amp; Maintenance Expense</t>
  </si>
  <si>
    <t>ITC Adjust. Allocated to Trans. - Grossed Up</t>
  </si>
  <si>
    <t xml:space="preserve">Includes Transmission portion only.  </t>
  </si>
  <si>
    <t xml:space="preserve">Composite Income Taxes                                                                                                       </t>
  </si>
  <si>
    <t>Balance</t>
  </si>
  <si>
    <t>Account 454 - Rent from Electric Property</t>
  </si>
  <si>
    <t>Shaded cells are input cells</t>
  </si>
  <si>
    <t>Attachment 1</t>
  </si>
  <si>
    <t>Attachment 5</t>
  </si>
  <si>
    <t>Attachment 3</t>
  </si>
  <si>
    <t>Subtotal - Accounts 909 and 928 - Transmission Related</t>
  </si>
  <si>
    <t>T/D Revenue Allocation Factor (For Pole Attachment Revenue)</t>
  </si>
  <si>
    <t xml:space="preserve">T/D Revenue Allocation Factor [From Appendix A, Ln. 19] </t>
  </si>
  <si>
    <t>Charges billed to Transmission Owner for system integration and transmission costs paid to others that benefit transmission customers and are recorded in Account 565.</t>
  </si>
  <si>
    <t>Appendix A - Ln. 59</t>
  </si>
  <si>
    <t>Inputs From</t>
  </si>
  <si>
    <t>112.20d</t>
  </si>
  <si>
    <t>Description/Source</t>
  </si>
  <si>
    <t>Data Input from Company Records and/or Verification Required (Manual Input)</t>
  </si>
  <si>
    <t>Total Plant In Rate Base</t>
  </si>
  <si>
    <t>Formula Rate Template Inputs</t>
  </si>
  <si>
    <t>Attachment 2</t>
  </si>
  <si>
    <t>Total Income Taxes</t>
  </si>
  <si>
    <t>Summary</t>
  </si>
  <si>
    <t>Net Property, Plant &amp; Equipment</t>
  </si>
  <si>
    <t>Taxes Other than Income</t>
  </si>
  <si>
    <t>Common Stock</t>
  </si>
  <si>
    <t>C</t>
  </si>
  <si>
    <t>Gross Plant Allocator</t>
  </si>
  <si>
    <t>Total  Capitalization</t>
  </si>
  <si>
    <t>Total Long Term Debt</t>
  </si>
  <si>
    <t>Total Long Term Debt (WCLTD)</t>
  </si>
  <si>
    <t>Long Term Interest</t>
  </si>
  <si>
    <t>Long Term Debt</t>
  </si>
  <si>
    <t>Depreciation Expense</t>
  </si>
  <si>
    <t>Accumulated Depreciation (Total Electric Plant)</t>
  </si>
  <si>
    <t>Transmission Wages Expense</t>
  </si>
  <si>
    <t>Total Wages Expense</t>
  </si>
  <si>
    <t xml:space="preserve"> </t>
  </si>
  <si>
    <t>E</t>
  </si>
  <si>
    <t>A</t>
  </si>
  <si>
    <t>D</t>
  </si>
  <si>
    <t>G</t>
  </si>
  <si>
    <t>Preferred Stock</t>
  </si>
  <si>
    <t>Total Cash Working Capital Allocated to Transmission</t>
  </si>
  <si>
    <t>Transmission Materials &amp; Supplies</t>
  </si>
  <si>
    <t>Directly Assigned A&amp;G</t>
  </si>
  <si>
    <t>Adjustment to Remove Revenue Requirements Associated with 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</si>
  <si>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</si>
  <si>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</si>
  <si>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</si>
  <si>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</si>
  <si>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</si>
  <si>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</si>
  <si>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</si>
  <si>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</si>
  <si>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Allocators</t>
  </si>
  <si>
    <t>Less A&amp;G Wages Expense</t>
  </si>
  <si>
    <t>Total Accumulated Depreciation</t>
  </si>
  <si>
    <t>Wages &amp; Salary Allocation Factor</t>
  </si>
  <si>
    <t>Adjustment To Rate Base</t>
  </si>
  <si>
    <t>Plant In Service</t>
  </si>
  <si>
    <t>Intangible Amortization</t>
  </si>
  <si>
    <t xml:space="preserve">Appendix A - Ln. 28 </t>
  </si>
  <si>
    <t xml:space="preserve">Appendix A - Ln. 29    </t>
  </si>
  <si>
    <t xml:space="preserve"> 5a.</t>
  </si>
  <si>
    <t xml:space="preserve">    Less Account 216.1</t>
  </si>
  <si>
    <t xml:space="preserve">    Less Preferred Stock</t>
  </si>
  <si>
    <t>Capitalization</t>
  </si>
  <si>
    <t>ITC Adjustment</t>
  </si>
  <si>
    <t>Amortized Investment Tax Credit - Transmission Related</t>
  </si>
  <si>
    <t>SIT=State Income Tax Rate or Composite</t>
  </si>
  <si>
    <t>FIT=Federal Income Tax Rate</t>
  </si>
  <si>
    <t>Investment Return = Rate Base * Rate of Return</t>
  </si>
  <si>
    <t>Income Tax Rates</t>
  </si>
  <si>
    <t>Preferred Dividends</t>
  </si>
  <si>
    <t>Depreciation &amp; Amortization Expense</t>
  </si>
  <si>
    <t>Total Transmission Depreciation &amp; Amortization</t>
  </si>
  <si>
    <t>Transmission O&amp;M</t>
  </si>
  <si>
    <t>Wages &amp; Salary Allocator</t>
  </si>
  <si>
    <t>Total Transmission O&amp;M</t>
  </si>
  <si>
    <t>Total A&amp;G</t>
  </si>
  <si>
    <t>Plant Calculations</t>
  </si>
  <si>
    <t>Net Plant</t>
  </si>
  <si>
    <t>Net Plant Allocator</t>
  </si>
  <si>
    <t>Rate Base</t>
  </si>
  <si>
    <t xml:space="preserve">Income Tax Component = </t>
  </si>
  <si>
    <t>Plant Allocation Factors</t>
  </si>
  <si>
    <t>1/8th Rule</t>
  </si>
  <si>
    <t>Total</t>
  </si>
  <si>
    <t>B</t>
  </si>
  <si>
    <t>Proprietary Capital</t>
  </si>
  <si>
    <t>T / (1-T)</t>
  </si>
  <si>
    <t>Amortized Investment Tax Credit</t>
  </si>
  <si>
    <t>Electric Plant in Service</t>
  </si>
  <si>
    <t>Investment Return</t>
  </si>
  <si>
    <t>Income Taxes</t>
  </si>
  <si>
    <t>Criteria for Allocation:</t>
  </si>
  <si>
    <t xml:space="preserve">Wages &amp; Salary Allocator </t>
  </si>
  <si>
    <t>Attachment 5 - Cost Support</t>
  </si>
  <si>
    <t>Total Transmission</t>
  </si>
  <si>
    <t>Page 1 of 1</t>
  </si>
  <si>
    <t>Inputs</t>
  </si>
  <si>
    <t>Appendix A</t>
  </si>
  <si>
    <t>Total Labor Related [Wages &amp; Sal. Alloc. from Appendix A, Ln.5]</t>
  </si>
  <si>
    <t xml:space="preserve">Net revenues associated with Transmission Service Requests, Sponsored Upgrades, and Generation Interconnections for which the load is not included in the divisor. </t>
  </si>
  <si>
    <t>Weighted Average Cost of Capital ("R")</t>
  </si>
  <si>
    <t>5.</t>
  </si>
  <si>
    <t>Totals</t>
  </si>
  <si>
    <t>4.</t>
  </si>
  <si>
    <t>[Note (6)]</t>
  </si>
  <si>
    <t>[Note (3)]</t>
  </si>
  <si>
    <t>3.</t>
  </si>
  <si>
    <t>[Note (5)]</t>
  </si>
  <si>
    <t>[Note (2)]</t>
  </si>
  <si>
    <t>2.</t>
  </si>
  <si>
    <t>[Note (4)]</t>
  </si>
  <si>
    <t>[Note (1)]</t>
  </si>
  <si>
    <t>1.</t>
  </si>
  <si>
    <t>Col D</t>
  </si>
  <si>
    <t>Col C</t>
  </si>
  <si>
    <t>Col B</t>
  </si>
  <si>
    <t>Col A</t>
  </si>
  <si>
    <t>(%)</t>
  </si>
  <si>
    <t>Weighted Cost of Capital</t>
  </si>
  <si>
    <t>Cost of Capital</t>
  </si>
  <si>
    <t>Total Company Average Capitalization ($)</t>
  </si>
  <si>
    <t>Type of Capital</t>
  </si>
  <si>
    <t>Note (11):</t>
  </si>
  <si>
    <t>Note (10):</t>
  </si>
  <si>
    <t>(A)</t>
  </si>
  <si>
    <t>(B)</t>
  </si>
  <si>
    <t>(C)</t>
  </si>
  <si>
    <t>(D)</t>
  </si>
  <si>
    <t>(E)</t>
  </si>
  <si>
    <t>(F)</t>
  </si>
  <si>
    <t>(G)</t>
  </si>
  <si>
    <t>Added</t>
  </si>
  <si>
    <t>YE Balance</t>
  </si>
  <si>
    <t>to Ratebase</t>
  </si>
  <si>
    <t>Identification</t>
  </si>
  <si>
    <t>TABLE OF CONTENTS</t>
  </si>
  <si>
    <t>Spreadsheet Title</t>
  </si>
  <si>
    <t>Page Number</t>
  </si>
  <si>
    <t>ATTACHMENT 3 - REVENUE CREDITS</t>
  </si>
  <si>
    <t>ATTACHMENT 4 - NON-ESCROWED FUNDS</t>
  </si>
  <si>
    <t>ATTACHMENT 5 - COST SUPPORT</t>
  </si>
  <si>
    <t>ATTACHMENT 1 - ACCUMULATED DEFERRED INCOME TAXES</t>
  </si>
  <si>
    <t>ATTACHMENT 6 - WEIGHTED AVERAGE COST OF CAPITAL</t>
  </si>
  <si>
    <t>ATTACHMENT 7 - COMMON STOCK</t>
  </si>
  <si>
    <t>ATTACHMENT 8 - PREFERRED STOCK</t>
  </si>
  <si>
    <t>ATTACHMENT 9 - LONG-TERM DEBT</t>
  </si>
  <si>
    <t>ATTACHMENT 2 - TAXES OTHER THAN INCOME</t>
  </si>
  <si>
    <t>FORMULA RATE TEMPLATE INPUTS</t>
  </si>
  <si>
    <t xml:space="preserve">Attachment 2 - Taxes Other Than Income </t>
  </si>
  <si>
    <t xml:space="preserve">Attachment 3 - Revenue Credits </t>
  </si>
  <si>
    <t>Attachment 9, LONG-TERM DEBT</t>
  </si>
  <si>
    <t xml:space="preserve">Other Electric Revenues  - Transmission for Others (Schedules 7 &amp; 8) </t>
  </si>
  <si>
    <t xml:space="preserve">ATT 5 - Cost Support, Ln. 50 </t>
  </si>
  <si>
    <t>ATT 5 - Cost Support, Ln. 37</t>
  </si>
  <si>
    <t>ATT 8 - Pref Stock, Ln. 2, Col. A</t>
  </si>
  <si>
    <t>ATT 8 - Pref Stock, Ln. 1, Col. A</t>
  </si>
  <si>
    <t xml:space="preserve">ATT 7 - Com Stock, Ln. 2, Col. F </t>
  </si>
  <si>
    <t>ATT 7 - Com Stock, Ln. 1, Col. F</t>
  </si>
  <si>
    <t>ATT 7 - Com Stock, Ln. 2, Col. A</t>
  </si>
  <si>
    <t>ATT 7 - Com Stock, Ln. 1, Col. A</t>
  </si>
  <si>
    <t>Deferred compensation, tax deductible when paid</t>
  </si>
  <si>
    <t>Relates to pensions - tax funding vs book accrual</t>
  </si>
  <si>
    <t xml:space="preserve">Total Transmission Expenses </t>
  </si>
  <si>
    <t>Depreciation Exp (403) - Transmission Plant</t>
  </si>
  <si>
    <t xml:space="preserve">Depreciation Exp (403) - General Plant </t>
  </si>
  <si>
    <t>SD Property Taxes</t>
  </si>
  <si>
    <t>ND Property Taxes</t>
  </si>
  <si>
    <t>IA Property Taxes</t>
  </si>
  <si>
    <t>Coal Conversion</t>
  </si>
  <si>
    <t>Gross Revenue</t>
  </si>
  <si>
    <t>Vehicle Tax</t>
  </si>
  <si>
    <t>Payroll Tax - FICA</t>
  </si>
  <si>
    <t>Payroll Tax - Medicare</t>
  </si>
  <si>
    <t>Payroll Tax - FUT</t>
  </si>
  <si>
    <t>Payroll Tax - FUT-SD</t>
  </si>
  <si>
    <t>State Income Tax Rate</t>
  </si>
  <si>
    <t>Percent of Federal Tax Eligible for Deduction by South Dakota</t>
  </si>
  <si>
    <t xml:space="preserve"> State Income Tax Rate </t>
  </si>
  <si>
    <t xml:space="preserve"> State Income Tax Rate</t>
  </si>
  <si>
    <t xml:space="preserve">Verify amount annually </t>
  </si>
  <si>
    <t>The currently effective income tax rate where FIT is the Federal income tax rate; SIT is the South Dakota income tax rate, and p = the percentage of</t>
  </si>
  <si>
    <t>Currently Included on Appendix A</t>
  </si>
  <si>
    <t>Currently Excluded from Appendix A</t>
  </si>
  <si>
    <t xml:space="preserve">Accum Prov for Inj/Damgs </t>
  </si>
  <si>
    <r>
      <t>1</t>
    </r>
    <r>
      <rPr>
        <sz val="10"/>
        <rFont val="Arial"/>
        <family val="2"/>
      </rPr>
      <t xml:space="preserve"> Account 925 is the FERC expense account which includes the cost of insurance, the cost of claims not covered by </t>
    </r>
  </si>
  <si>
    <t>Other adjustments</t>
  </si>
  <si>
    <t>Specific FERC 909 Ad costs</t>
  </si>
  <si>
    <t>Total Long Term Debt (Average)</t>
  </si>
  <si>
    <t>Weighted Cost Ratios</t>
  </si>
  <si>
    <t>Line not used</t>
  </si>
  <si>
    <t>Functionalized to Transmission</t>
  </si>
  <si>
    <t>ATT 7 - Com Stock, Ln. 2, Col. G</t>
  </si>
  <si>
    <t>ATT 7 - Com Stock, Ln. 1, Col. G</t>
  </si>
  <si>
    <t>ATT 9 - LTD, Pg. 1, Ln. 2, Col. B</t>
  </si>
  <si>
    <t>ATT 9 - LTD, Pg. 1, Ln. 1, Col. B</t>
  </si>
  <si>
    <t>ATT 9 - LTD, Pg. 2, Ln. 1</t>
  </si>
  <si>
    <t xml:space="preserve">There are no direct assigned transmission facilities on our system as of 12/31/2014.  Annual verification/updates will be documented on ATT 5. </t>
  </si>
  <si>
    <t xml:space="preserve">Amortization Debt Discount and Expense (Acct 428) [FF1, Pg. 117, Ln. 63, Col. c] [From Inputs, Pg. 1, Ln. 25] </t>
  </si>
  <si>
    <t>FF1, Pg. 112, Ln 18, Col. D [From Inputs, Pg. 1, Ln. 11]</t>
  </si>
  <si>
    <t>FF1, Pg. 112, Ln 18, Col. C [From Inputs, Pg.1, Ln. 10]</t>
  </si>
  <si>
    <t>FF1, Pg. 112, Ln. 12, Col. D [From Inputs, Pg. 1, Ln. 5]</t>
  </si>
  <si>
    <t>Annual Depreciation Expense for Transmission Assets under SPP tariff</t>
  </si>
  <si>
    <t>ATT 2 - Other Taxes, Ln. 3</t>
  </si>
  <si>
    <t>Appendix A - Ln. 7</t>
  </si>
  <si>
    <t>Transmission Depreciation Expense for Assets under SPP tariff</t>
  </si>
  <si>
    <t>Appendix A - Ln. 17</t>
  </si>
  <si>
    <t>Advertisements:</t>
  </si>
  <si>
    <t>(Line 17 / Line 18)</t>
  </si>
  <si>
    <t>Transmission Plant In Service under SPP tariff</t>
  </si>
  <si>
    <t>Transmission Accumulated Depreciation for assets under SPP tariff</t>
  </si>
  <si>
    <t>Transmission under SPP Factor</t>
  </si>
  <si>
    <t xml:space="preserve">Transmission Gross Plant under SPP tariff (excluding Land Held for Future Use)           </t>
  </si>
  <si>
    <t xml:space="preserve">Transmission Net Plant under SPP tariff (excluding Land Held for Future Use)                 </t>
  </si>
  <si>
    <t>Advertisements FERC 909</t>
  </si>
  <si>
    <t>Direct Assignment Facilities: Facilities or portions of facilities that are constructed by any Transmission Owner(s) for the sole use/benefit of a particular Transmission Customer or a particular group of customers or a particular Generation Interconnection Customer requesting service under the Tariff. Direct Assignment Facilities shall be specified in the Service Agreements that govern service to the Transmission Customer(s) and Generation Interconnection Customer(s) and shall be subject to Commission approval.</t>
  </si>
  <si>
    <t xml:space="preserve">[From ATT-6, Pg. 1, Ln. 3, Col C] </t>
  </si>
  <si>
    <t>Adjustment to Remove Revenue Requirements Associated w/ Excluded Transmission Facilities</t>
  </si>
  <si>
    <t>1a</t>
  </si>
  <si>
    <t>Adjustments to Transmission Plant for only assets under SPP tariff:</t>
  </si>
  <si>
    <t>Transmission under SPP</t>
  </si>
  <si>
    <t>Transmission Assets</t>
  </si>
  <si>
    <t>ATT 5 - Cost Support, Ln. 1a</t>
  </si>
  <si>
    <t>Need to verify during each annual update if there are any such TSR revenues (including TSR revenue from SPP customers not in zone) for load that is NOT included in the UMZ divisor.</t>
  </si>
  <si>
    <t xml:space="preserve">Pre-OATT grandfathered Non-Firm Point to Point Service bundled demand revenues for which the load is not included in the divisor received by Transmission Owner and for which the revenues are divided between production and transmission functions.  </t>
  </si>
  <si>
    <t>Transmission under SPP Tariff Factor</t>
  </si>
  <si>
    <t>(Line 1 * Line 1a) / Line 4</t>
  </si>
  <si>
    <t>Transmission Pole/Structure Investment (Accts 354 + 355) under SPP tariff</t>
  </si>
  <si>
    <t xml:space="preserve">Transmission O&amp;M </t>
  </si>
  <si>
    <t xml:space="preserve">     Less Account 565 </t>
  </si>
  <si>
    <t>Regulatory Assets</t>
  </si>
  <si>
    <t>Environmental Liability</t>
  </si>
  <si>
    <t>All natural gas related</t>
  </si>
  <si>
    <t>(Note A)</t>
  </si>
  <si>
    <t>Not South Dakota Electric related</t>
  </si>
  <si>
    <t>Non-jurisdictional (SD Gas, NE Gas)</t>
  </si>
  <si>
    <t>Difference  (Line 21 - Line 22)</t>
  </si>
  <si>
    <t>ATT 2 - Other Taxes, Ln. 15</t>
  </si>
  <si>
    <t>ATT 2 - Other Taxes, Ln. 16</t>
  </si>
  <si>
    <t>ATT 2 - Other Taxes, Ln. 17</t>
  </si>
  <si>
    <t>Not used</t>
  </si>
  <si>
    <t xml:space="preserve">Company Records </t>
  </si>
  <si>
    <t>From company records</t>
  </si>
  <si>
    <t>FF1, Pg. 112, Ln. 12, Col. C [From Inputs, Pg. 1, Ln. 4]</t>
  </si>
  <si>
    <t>Note(4): From ATT 9, Page 2, Ln. 8</t>
  </si>
  <si>
    <t xml:space="preserve">[From ATT-6, Pg. 1, Ln. 2, Col B] </t>
  </si>
  <si>
    <t xml:space="preserve">[From ATT-6, Pg. 1, Ln. 3, Col B] </t>
  </si>
  <si>
    <t>[From ATT-6, Pg. 1, Ln. 1, Col B]</t>
  </si>
  <si>
    <t>Total Proprietary Capital - End of Year (Total Company)</t>
  </si>
  <si>
    <t>Total Proprietary Capital - Beginning of Year (Total Company)</t>
  </si>
  <si>
    <t>Bonds (221) - End of Year (Total Company)</t>
  </si>
  <si>
    <t>Bonds (221) - Beginning of Year (Total Company)</t>
  </si>
  <si>
    <t>Includes only transmission assets under the SPP tariff.</t>
  </si>
  <si>
    <t>Appendix A - Ln. 8</t>
  </si>
  <si>
    <t>Appendix A - Ln. 22</t>
  </si>
  <si>
    <t xml:space="preserve">Appendix A - Ln. 69  </t>
  </si>
  <si>
    <t>ATT 9 - LTD, Pg. 2, Ln. 4</t>
  </si>
  <si>
    <t>ATT 9 - LTD, Pg. 2, Ln. 5</t>
  </si>
  <si>
    <t>ATT 2 - Other Taxes, Ln. 22</t>
  </si>
  <si>
    <t xml:space="preserve">FF1, 214.47.d </t>
  </si>
  <si>
    <t>Company Records</t>
  </si>
  <si>
    <t xml:space="preserve">                                            ATT 5 - Cost Support, Ln. 117</t>
  </si>
  <si>
    <t>p354.21.b  [From Inputs, Pg. 1, Ln. 61]</t>
  </si>
  <si>
    <t>p354.28.b  [From Inputs, Pg. 1, Ln. 63]</t>
  </si>
  <si>
    <t>p354.27.b  [From Inputs, Pg. 1, Ln. 62]</t>
  </si>
  <si>
    <t>p219.29.c  [From Inputs, Pg. 1, Ln. 44]</t>
  </si>
  <si>
    <t>From Inputs, Pg. 2, Line 22</t>
  </si>
  <si>
    <t>[From Inputs, Pg. 2, Ln. 13]</t>
  </si>
  <si>
    <t>[From Inputs, Pg. 2, Ln. 14]</t>
  </si>
  <si>
    <t>p219.28.c [From Inputs, Pg. 1, Ln. 43]</t>
  </si>
  <si>
    <t>p336.7.b&amp;c&amp;d  [From Inputs, Pg. 2, Ln. 21]</t>
  </si>
  <si>
    <t>p336.10.b&amp;c&amp;d  [From Inputs, Pg. 1, Lns. 58, 59, &amp; 60]</t>
  </si>
  <si>
    <t>p336.1.b&amp;c&amp;d&amp;e  [From Inputs, Lns. 51, 52, 53, &amp; 54]</t>
  </si>
  <si>
    <t>Appendix A - Ln. 26</t>
  </si>
  <si>
    <t>Vehicle Taxes [From Inputs, Pg. 1, Ln. 74]</t>
  </si>
  <si>
    <t>State Unemployment Comp. [From Inputs, Pg. 1, Lines 78]</t>
  </si>
  <si>
    <t>Coal Conversion [From Inputs Pg. 1, Ln. 71]</t>
  </si>
  <si>
    <t>Subtotal of Excluded Taxes, [Ln. 15 + Ln. 16 + Ln.17]</t>
  </si>
  <si>
    <t>Total, Included and Excluded (Column A, Lines 7 + 13 + 20)</t>
  </si>
  <si>
    <t>Plus: Interest on Debt to Associated Companies (Acct 430) [FF1, Pg. 117, Ln. 67, Col. c] [From Inputs, Pg. 1, Ln. 40]</t>
  </si>
  <si>
    <t>ATT - 5, Ln. 63</t>
  </si>
  <si>
    <t>FF1  266.8.f  [From Inputs, Pg.1, Ln. 45]</t>
  </si>
  <si>
    <t>[From Inputs, Pg. 2, Ln. 15]</t>
  </si>
  <si>
    <t>Appendix A - Ln. 99</t>
  </si>
  <si>
    <t xml:space="preserve">   federal income tax deductible for South Dakota state income taxes.  </t>
  </si>
  <si>
    <t>SD Gross Receipts Tax [From Inputs, Pg. 2, Ln. 72]</t>
  </si>
  <si>
    <t>Other Taxes that are incurred through ownership of only general or intangible plant will be allocated based on the Wages and Salary Allocator.</t>
  </si>
  <si>
    <t>Other Taxes that are incurred through ownership of plant, including transmission plant, will be allocated based on the Gross Plant Allocator.</t>
  </si>
  <si>
    <t>Direct Assigned Facilities Revenues (Note 2) [From Inputs, Pg. 2, Ln. 15]</t>
  </si>
  <si>
    <t>Other Revenues Associated with Loads Outside of NorthWestern's Zone [From Inputs, Pg. 2, Ln. 19]</t>
  </si>
  <si>
    <r>
      <t>FERC Expense Acct</t>
    </r>
    <r>
      <rPr>
        <vertAlign val="superscript"/>
        <sz val="10"/>
        <rFont val="Arial"/>
        <family val="2"/>
      </rPr>
      <t xml:space="preserve"> 1</t>
    </r>
  </si>
  <si>
    <t>[From Inputs, Pg. 2, Ln. 16]</t>
  </si>
  <si>
    <t>(Lines 49  - 50)</t>
  </si>
  <si>
    <t>Line left intentionally blank</t>
  </si>
  <si>
    <t>SPP Schedule 7 &amp; 8 Transmission Revenues (Note 1  &amp; Note 3) [From Inputs, Pg. 2, Ln. 18]</t>
  </si>
  <si>
    <t>Non-Firm Point-to-Point Service revenues for which the load is not included in the divisor received by Transmission Owner (Note 3)  [From Inputs, Pg. 2, Ln. 20]</t>
  </si>
  <si>
    <t xml:space="preserve">insurance, the re-imbursement from insurance companies, and amounts credited to account 228.2 as Accumulated </t>
  </si>
  <si>
    <t>Allocated to transmission</t>
  </si>
  <si>
    <t xml:space="preserve">MGP </t>
  </si>
  <si>
    <t>tax gross up on FAS109 flow through deferred taxes</t>
  </si>
  <si>
    <t>FAS109 Flow through deferred taxes</t>
  </si>
  <si>
    <t>Accelerated Depreciation &amp; Amortization of non-flow through items</t>
  </si>
  <si>
    <t>ATT 4 - Non-Escrowed Funds, Ln. 4</t>
  </si>
  <si>
    <t>Transmission under SPP Factor   (Transmission under SS divided by Total Transmission)</t>
  </si>
  <si>
    <t xml:space="preserve">Electric - Amortization of Other Utility Plant </t>
  </si>
  <si>
    <t>Delaware Franchise</t>
  </si>
  <si>
    <t>[From ATT-5, Ln. 1a]</t>
  </si>
  <si>
    <t>Safety/Peak Alert Advertising Exp (Acct 909)</t>
  </si>
  <si>
    <t>APPENDIX A, ADDENDUM 27</t>
  </si>
  <si>
    <t>APPENDIX A</t>
  </si>
  <si>
    <t>LTD Interest Expense (Acct 427)[FF1, Pg. 117, Ln. 62, Col. C] [From Inputs Pg.1, Ln. 24]</t>
  </si>
  <si>
    <t>Unamortized balance Premiums (Beg of Yr) (Acct 225) [Form 1, Pg. 112, Ln. 22, Col. d] [From Inputs, Pg. 1, Ln. 19]</t>
  </si>
  <si>
    <t>Unamortized balance Premiums (End of Yr) (Acct 225) [Form 1, Pg. 112, Ln. 22, Col. c] [From Inputs, Pg. 1, Ln. 18]</t>
  </si>
  <si>
    <t>Unamortized balance Discounts (Beg of Yr) (Acct 226) [Form 1, Pg. 112, Ln. 23, Col. d] [From Inputs, Pg. 1, Ln. 21]</t>
  </si>
  <si>
    <t>Unamortized balance Discounts (End of Yr) (Acct 226) [Form 1, Pg. 112, Ln. 23, Col. c] [From Inputs, Pg. 1, Ln. 20]</t>
  </si>
  <si>
    <t>Acct 204 FF1, Pg. 112, Ln. 3, Col d. [From Inputs, Pg. 1, Ln. 3]</t>
  </si>
  <si>
    <t xml:space="preserve">Acct 204 FF1, Pg. 112, Ln. 3, Col c. [From Inputs, Pg. 1, Ln. 2] </t>
  </si>
  <si>
    <t>Attachment 10, DEPRECIATION RATES</t>
  </si>
  <si>
    <t>FERC</t>
  </si>
  <si>
    <t>14.</t>
  </si>
  <si>
    <t>15.</t>
  </si>
  <si>
    <t>Attachment 10</t>
  </si>
  <si>
    <t>(Less) Unamortized Disc. on Long-Term Debt (Debit) - End of Yr (Acct 226)</t>
  </si>
  <si>
    <t>(Less) Unamortized Disc. on Long-Term Debt (Debit) - Beg of Yr (Acct 226)</t>
  </si>
  <si>
    <t>Unamortized Premium on Long Term Debt - End of Year (Acct 225)</t>
  </si>
  <si>
    <t>Unamortized Premium on Long Term Debt - Beginning of Year (Acct 225)</t>
  </si>
  <si>
    <t>Capital Stock Expense - Pref</t>
  </si>
  <si>
    <t>Accts 214 - 217</t>
  </si>
  <si>
    <t>Note (12):</t>
  </si>
  <si>
    <t>Unamortized Debt Expense (Acct 181) - End of Year</t>
  </si>
  <si>
    <t>Unamortized Debt Expense (Acct 181) - Beginning of Year</t>
  </si>
  <si>
    <t>Unamortized Loss on Reacquired Debt - End of Year (Acct 189)</t>
  </si>
  <si>
    <t>Unamortized Loss on Reacquired Debt - Beginning of Year (Acct 189)</t>
  </si>
  <si>
    <t>Unamortized Gain on Reacquired Debt - End of Yr (Acct 257)</t>
  </si>
  <si>
    <t>Unamortized Gain on Reacquired Debt - Beginning of Yr (Acct 257)</t>
  </si>
  <si>
    <t>Avg of Beg &amp; End of Yr</t>
  </si>
  <si>
    <t xml:space="preserve">Avg of Beg &amp; End of Yr </t>
  </si>
  <si>
    <t>16.</t>
  </si>
  <si>
    <t>17.</t>
  </si>
  <si>
    <t>18.</t>
  </si>
  <si>
    <t>19.</t>
  </si>
  <si>
    <t>20.</t>
  </si>
  <si>
    <t>21.</t>
  </si>
  <si>
    <t>22.</t>
  </si>
  <si>
    <t>ATT-9 - LTD, Pg. 1, Ln. 10</t>
  </si>
  <si>
    <t>ATT-9 - LTD, Pg. 1, Ln. 11</t>
  </si>
  <si>
    <t>ATT-9 - LTD, Pg. 1, Ln. 13</t>
  </si>
  <si>
    <t>ATT-9 - LTD, Pg. 1, Ln. 14</t>
  </si>
  <si>
    <t>ATT-9 - LTD, Pg. 1, Ln. 16</t>
  </si>
  <si>
    <t>ATT-9 - LTD, Pg. 1, Ln. 17</t>
  </si>
  <si>
    <t>Accts 208,209,211</t>
  </si>
  <si>
    <t>ATTACHMENT 10 - DEPRECIATION RATES</t>
  </si>
  <si>
    <t>ATTACHMENT 11 - LIST OF QUALIFYING FACILITIES</t>
  </si>
  <si>
    <t>NorthWestern uses Account 909 for its Safety and Informational Advertising.  The account includes expenses incurred while conveying information to customers about safety and providing information to customers about utilizing their electric service.  Costs during the test year included listing our phone number in telephone directories, safety campaigns around Call Before You Dig and Louie the Lightning Bug, tree safety and awareness, customer education on easy billing plans, and monthly bill inserts to customers.</t>
  </si>
  <si>
    <t>(a)</t>
  </si>
  <si>
    <t>(b)</t>
  </si>
  <si>
    <t>(c)</t>
  </si>
  <si>
    <t>(d)</t>
  </si>
  <si>
    <t>(e)</t>
  </si>
  <si>
    <t>Original Cost in SPP</t>
  </si>
  <si>
    <t>Depreciation Reserve in SPP</t>
  </si>
  <si>
    <t>Net Book Value in SPP</t>
  </si>
  <si>
    <t>(f)</t>
  </si>
  <si>
    <t>(g)</t>
  </si>
  <si>
    <t>(h)</t>
  </si>
  <si>
    <t>(i)</t>
  </si>
  <si>
    <t>350.1-Transmission Land</t>
  </si>
  <si>
    <t>350.2-Trans Land Rights</t>
  </si>
  <si>
    <t>352.0-Transmission-Structu</t>
  </si>
  <si>
    <t>353.0-Transmission-Stat Eq</t>
  </si>
  <si>
    <t>355.0-Tran Elec Poles &amp; Fixtures</t>
  </si>
  <si>
    <t>356.0-Tran Elec OH Conductors &amp; Dev</t>
  </si>
  <si>
    <t>Note(1): From ATT 9, Pg. 1, Ln. 3.</t>
  </si>
  <si>
    <r>
      <t xml:space="preserve">Preferred Dividends </t>
    </r>
    <r>
      <rPr>
        <sz val="10"/>
        <rFont val="Arial"/>
        <family val="2"/>
      </rPr>
      <t>[Note 13]:</t>
    </r>
  </si>
  <si>
    <t xml:space="preserve">Note (13): </t>
  </si>
  <si>
    <t>The Acct 437 dollars included in FF1, Pg. 118, Ln. 29, Col. c. (Enter as a positive number).</t>
  </si>
  <si>
    <t xml:space="preserve">Plus: Unamortized balance Premiums [From Line 6 and 18 above] </t>
  </si>
  <si>
    <t xml:space="preserve">Less: Unamortized balance Discounts [From Line 9, 12, and 15 above] </t>
  </si>
  <si>
    <r>
      <t>GROSS PROCEEDS</t>
    </r>
    <r>
      <rPr>
        <sz val="10"/>
        <rFont val="Arial"/>
        <family val="2"/>
      </rPr>
      <t xml:space="preserve"> (Avg of Beg of Yr and End of Yr LTD Gross Outstanding Balances in Col E)(To ATT 6, Pg.1, Ln.1, Col. 1]:</t>
    </r>
  </si>
  <si>
    <t>Col E= Cols A+B-C+D</t>
  </si>
  <si>
    <t>Col G = Cols A+B-C+D+E-F</t>
  </si>
  <si>
    <t xml:space="preserve">Total Long Term Debt Balance (Net Proceeds)  [From Pg. 1,  Ln. 22, above] </t>
  </si>
  <si>
    <t>Total Net Revenue Requirement</t>
  </si>
  <si>
    <t>The Acct 214-217 dollars included in FF1, Pg. 112, Ln. 10,13, Col. d that are associated with the capital stock expense on Preferred Stock; as derived from the Company's Books and Records.</t>
  </si>
  <si>
    <t>The Acct 214-217 dollars included in FF1, Pg. 112, Ln. 10,13, Col. c that are associated with thecapital stock expense on Preferred Stock; as derived from the Company's Books and Records.</t>
  </si>
  <si>
    <t>Asset Location</t>
  </si>
  <si>
    <t>Annual Depreciation</t>
  </si>
  <si>
    <t>(j)</t>
  </si>
  <si>
    <t>(k)</t>
  </si>
  <si>
    <t>(l)</t>
  </si>
  <si>
    <t>(m)</t>
  </si>
  <si>
    <t>(n)</t>
  </si>
  <si>
    <t>(o)</t>
  </si>
  <si>
    <t>BOY Original Cost</t>
  </si>
  <si>
    <t>BOY Depreciation Reserve</t>
  </si>
  <si>
    <t>BOY Net Book Value</t>
  </si>
  <si>
    <t>EOY Original Cost</t>
  </si>
  <si>
    <t>EOY Depreciation Reserve</t>
  </si>
  <si>
    <t>EOY Net Book Value</t>
  </si>
  <si>
    <t>Breakout by FERC account:</t>
  </si>
  <si>
    <t>Average BOY/EOY Transmission Gross Plant under SPP tariff</t>
  </si>
  <si>
    <t>Average BOY/EOY Transmission Accum Depreciation on assets under SPP tariff</t>
  </si>
  <si>
    <t>Average BOY/EOY Gross Transmission Pole/Structures Investment                                       (Accts 354+355) under SPP tariff</t>
  </si>
  <si>
    <t>Total Intangible Plant - Average of BOY/EOY Balances</t>
  </si>
  <si>
    <t>Total Electric Plant in Service - Average of BOY/EOY Balances</t>
  </si>
  <si>
    <t>Trn - Total Transmission Plant - Average of BOY/EOY Balances</t>
  </si>
  <si>
    <t>Gen - Total General Plant - Average of BOY/EOY Balances</t>
  </si>
  <si>
    <t>Transmission Accum. Depreciation - Average of BOY/EOY Balances</t>
  </si>
  <si>
    <t>General Accum. Depreciation - Average of BOY/EOY Balances</t>
  </si>
  <si>
    <t>Total Accum Depr Utility Plant - Average of BOY/EOY Balances</t>
  </si>
  <si>
    <t>Transmission Poles And Fixtures - Average of BOY/EOY Balances</t>
  </si>
  <si>
    <t>Distribution Poles, Towers, and Fixtures - Average of BOY/EOY Balances</t>
  </si>
  <si>
    <t xml:space="preserve">Adjustments to prior Rate Year Revenue Requirement </t>
  </si>
  <si>
    <t>STEAM GENERATION - Big Stone</t>
  </si>
  <si>
    <t>310.0-BSP-Land</t>
  </si>
  <si>
    <t>311.0-BSP-Structures &amp; Improvement</t>
  </si>
  <si>
    <t>312.0-BSP-Boiler Plant Equipment</t>
  </si>
  <si>
    <t>314.0-BSP-Turbo-Generator</t>
  </si>
  <si>
    <t>315.0-BSP-Accessory Electric</t>
  </si>
  <si>
    <t>316.0-BSP-Misc Power Plant</t>
  </si>
  <si>
    <t>STEAM GENERATION - Coyote</t>
  </si>
  <si>
    <t>310.0-CYP-Land</t>
  </si>
  <si>
    <t>311.0-CYP-Structures &amp; Improvements</t>
  </si>
  <si>
    <t>312.0-CYP-Boiler Plant Equipment</t>
  </si>
  <si>
    <t>314.0-CYP-Turbo-Generator</t>
  </si>
  <si>
    <t>315.0-CYP-Accessory Electric</t>
  </si>
  <si>
    <t>316.0-CYP-Misc Power Plant</t>
  </si>
  <si>
    <t>STEAM GENERATION - Neal 4</t>
  </si>
  <si>
    <t>311.0-NLP-Structures &amp; Improvement</t>
  </si>
  <si>
    <t>312.0-NLP-Boiler Plant Equipment</t>
  </si>
  <si>
    <t>314.0-NLP-Turbo-Generator</t>
  </si>
  <si>
    <t>315.0-NLP-Accessory Electric</t>
  </si>
  <si>
    <t>316.0-NLP-Misc Power Plant</t>
  </si>
  <si>
    <t>OTHER GENERATION</t>
  </si>
  <si>
    <t>340.0-Other Production-Diesel-Land</t>
  </si>
  <si>
    <t>341.0-Other Production-Diesel-Struc</t>
  </si>
  <si>
    <t xml:space="preserve">342.0-Other Production-Diesel-Fuel </t>
  </si>
  <si>
    <t>342.1-GT Pipelines</t>
  </si>
  <si>
    <t>342.2-GT Compressors</t>
  </si>
  <si>
    <t>343.0-Prime Movers &amp; Generators</t>
  </si>
  <si>
    <t>344.0-Movers and Generators</t>
  </si>
  <si>
    <t>345.0-Accessory Electric Equipment</t>
  </si>
  <si>
    <t xml:space="preserve">346.0-Misc. Power Plant Equipment </t>
  </si>
  <si>
    <t>TRANSMISSION</t>
  </si>
  <si>
    <t>350.2-Transmission Land Rights</t>
  </si>
  <si>
    <t>352.0-Trans Elec Structures &amp; Impro</t>
  </si>
  <si>
    <t>353.0-Trans Elec Station Equipment</t>
  </si>
  <si>
    <t>356.0-Tran Elec Overhead Conductors</t>
  </si>
  <si>
    <t>357.0-Transmission-Underground Cond</t>
  </si>
  <si>
    <t>358.0-Transmission-UG Conductor &amp; D</t>
  </si>
  <si>
    <t>DISTRIBUTION</t>
  </si>
  <si>
    <t>360.1-Distribution Land</t>
  </si>
  <si>
    <t>360.2-Distribution Land Rights</t>
  </si>
  <si>
    <t>361.0-Distribution Structures &amp; Imp</t>
  </si>
  <si>
    <t>362.0-Distribution Elec Station Equ</t>
  </si>
  <si>
    <t>364.0-Distribution Poles &amp; Fixtures</t>
  </si>
  <si>
    <t>365.0-Distribution Overhead Conduct</t>
  </si>
  <si>
    <t>366.0-Distribution UG Conduit</t>
  </si>
  <si>
    <t>367.0-Distribution UG Conductor &amp; D</t>
  </si>
  <si>
    <t>368.0-Distribution Line Transformer</t>
  </si>
  <si>
    <t>369.1-Distribution Service Overhead</t>
  </si>
  <si>
    <t>369.2-Distribution Service Undergro</t>
  </si>
  <si>
    <t>370.0-Distribution Meters Electric</t>
  </si>
  <si>
    <t xml:space="preserve">371.0-Distribution-Install on Cust </t>
  </si>
  <si>
    <t>373.1-Dist Street Lighting &amp; Signal</t>
  </si>
  <si>
    <t>INTANGIBLE</t>
  </si>
  <si>
    <t>303.1-Intan Plant 10 Year Software</t>
  </si>
  <si>
    <t>303.5-Intan Plant 5 Year Software</t>
  </si>
  <si>
    <t>GENERAL</t>
  </si>
  <si>
    <t>389.0-General Plant-Land</t>
  </si>
  <si>
    <t>392.20-Gen Plt Util Trans-Trailers</t>
  </si>
  <si>
    <t>397.2-Gen Plt Util Comm Equip Other</t>
  </si>
  <si>
    <r>
      <t>1</t>
    </r>
    <r>
      <rPr>
        <sz val="11"/>
        <rFont val="Arial"/>
        <family val="2"/>
      </rPr>
      <t xml:space="preserve"> These depreciation and amortization rates shall not change absent a Section 205 or 206 filing before the Commission.  </t>
    </r>
  </si>
  <si>
    <t>Interest on Debt to Assoc. Companies (430)</t>
  </si>
  <si>
    <t>ATT 8 - Preferred Stock, Ln. 4, Col. G</t>
  </si>
  <si>
    <t>357.0-Trans-UG Conduit</t>
  </si>
  <si>
    <t>397.0-Electric 10yr Comm Equip</t>
  </si>
  <si>
    <t>Prepayments - Beginning of Year</t>
  </si>
  <si>
    <t>FF1   Pg. 110.57.c [From Inputs, Pg. 1, Ln. 1a]</t>
  </si>
  <si>
    <t>Prepayments - End of Year</t>
  </si>
  <si>
    <t>FF1   Pg. 110.57.c [From Inputs, Pg. 1, Ln. 1]</t>
  </si>
  <si>
    <t>Transmission under SPP %</t>
  </si>
  <si>
    <t>Materials and Supplies - End of Year</t>
  </si>
  <si>
    <t>Materials and Supplies - Beginning of Year</t>
  </si>
  <si>
    <t>Materials and Supplies - Average</t>
  </si>
  <si>
    <t>Average BOY/EOY Materials and Supplies</t>
  </si>
  <si>
    <t>Line intentionally left blank</t>
  </si>
  <si>
    <t>Prepayments (165)  Beginning of Year</t>
  </si>
  <si>
    <t>34a</t>
  </si>
  <si>
    <t>Transmission Materials &amp; Supplies Beginning of Year</t>
  </si>
  <si>
    <t>ATT 5 - Cost Support, Ln. 41</t>
  </si>
  <si>
    <t>p227.15.c  [From Inputs, Pg. 1, Ln. 35]</t>
  </si>
  <si>
    <t>Average BOY/EOY Prepayments</t>
  </si>
  <si>
    <t>Prepayments - Average</t>
  </si>
  <si>
    <t>Gross Revenue Credits (sum Lines 3 thru 8)   [To Appendix A, Line 122]</t>
  </si>
  <si>
    <r>
      <t xml:space="preserve"> Note 1</t>
    </r>
    <r>
      <rPr>
        <sz val="10"/>
        <rFont val="Arial"/>
        <family val="2"/>
      </rPr>
      <t xml:space="preserve">:     All Schedule 7 &amp; 8 revenues derived as a Transmission Owner from SPP for loads not included in the system peak and for which the cost of the service is recovered under this formula will be included in this revenue credit.  These revenues are booked in Account 456.1 (Firm Point-to-Point and Non-Firm Point-to-Point).  All NorthWestern point-to-point transmission customers are included in the UMZ Load Divisor.  </t>
    </r>
  </si>
  <si>
    <t>[From ATT-5, Ln. 41]</t>
  </si>
  <si>
    <t>(Line 105 - Line 104 - Line 103e)</t>
  </si>
  <si>
    <t>Line Intentionally Left Blank</t>
  </si>
  <si>
    <t>Transmission Materials &amp; Supplies End of Year</t>
  </si>
  <si>
    <t>Prepayments (165) End of Year</t>
  </si>
  <si>
    <t>Ln</t>
  </si>
  <si>
    <t xml:space="preserve">SPP UID # </t>
  </si>
  <si>
    <t>"Detail" Page, From Below</t>
  </si>
  <si>
    <t>Upgrade Description</t>
  </si>
  <si>
    <t>In-Service Date</t>
  </si>
  <si>
    <t>ATRR w/o Incentives</t>
  </si>
  <si>
    <t>Incentive ATRR</t>
  </si>
  <si>
    <t>Reliability and "Partial" Base Plan Funded Upgrade Totals</t>
  </si>
  <si>
    <t>Attachment 12</t>
  </si>
  <si>
    <t>Pg. 1 of 14</t>
  </si>
  <si>
    <t>ECONOMIC UPGRADES</t>
  </si>
  <si>
    <t xml:space="preserve">Economic Upgrade Totals </t>
  </si>
  <si>
    <t>BALANCED PORTFOLIO UPGRADES</t>
  </si>
  <si>
    <t xml:space="preserve">Balanced Portfolio Upgrade Totals </t>
  </si>
  <si>
    <t>INTEGRATED TRANSMISSION PLANNING UPGRADES</t>
  </si>
  <si>
    <t>Integrated Transmission Planning Upgrade Totals</t>
  </si>
  <si>
    <t>Pg. 2 of 14</t>
  </si>
  <si>
    <t>The calculated revenue requirements displayed below for prior years may change as this Attachment 12 of this Transmission Formula Rate is</t>
  </si>
  <si>
    <t xml:space="preserve">updated in subsequent years.  The values displayed for the current year are valid only during the current year.  Any changes to the prior  </t>
  </si>
  <si>
    <t xml:space="preserve">Tax Gross-Up Factor [From Appendix A, Ln. 102] </t>
  </si>
  <si>
    <t>Weighted Cost Ratio of Common Stock [From ATT 6, Ln. 3, Col. B]</t>
  </si>
  <si>
    <t>Upgrade Description:</t>
  </si>
  <si>
    <t>SPP UID # :</t>
  </si>
  <si>
    <t>SPP NTC Approval Letter Date:</t>
  </si>
  <si>
    <t>Incentive ROE (See Note 1, below):</t>
  </si>
  <si>
    <t>Upgrade Status:</t>
  </si>
  <si>
    <t>Upgrade In-Service Date:</t>
  </si>
  <si>
    <t>23.</t>
  </si>
  <si>
    <t>25.</t>
  </si>
  <si>
    <t>26.</t>
  </si>
  <si>
    <t>27.</t>
  </si>
  <si>
    <t>28.</t>
  </si>
  <si>
    <t>Note 1: The Incentive ROE percentage shall remain at zero, except as authorized by FERC through a separate Section 205 filing for specific SPP projects.</t>
  </si>
  <si>
    <t>Pg. 3 of 14</t>
  </si>
  <si>
    <t>Pg. 4 of 14</t>
  </si>
  <si>
    <t>Pg. 5 of 14</t>
  </si>
  <si>
    <t>Pg. 6 of 14</t>
  </si>
  <si>
    <t>Pg. 7 of 14</t>
  </si>
  <si>
    <t>Pg. 8 of 14</t>
  </si>
  <si>
    <t>Pg. 9 of 14</t>
  </si>
  <si>
    <t>Pg. 10 of 14</t>
  </si>
  <si>
    <t>Pg. 11 of 14</t>
  </si>
  <si>
    <t>Pg. 12 of 14</t>
  </si>
  <si>
    <t>Pg. 13 of 14</t>
  </si>
  <si>
    <t>Pg. 14 of 14</t>
  </si>
  <si>
    <t>to "lock in" such prior years revenue requirements during each successive Annual Update (to retain data for informational purposes).</t>
  </si>
  <si>
    <t>BASE PLAN and "PARTIAL" BASE PLAN FUNDED (RELIABILITY) UPGRADES</t>
  </si>
  <si>
    <t>Average BOY/EOY Transmission Gross Plant under SPP tariff [From Inputs, Pg. 2, Ln. 13]</t>
  </si>
  <si>
    <t>Average BOY/EOY Transmission Accum Depreciation on assets under SPP tariff [From Inputs, Pg. 2, Ln. 14]</t>
  </si>
  <si>
    <t>Total Adjustments to Rate Base [From Appendix A, Ln. 47]</t>
  </si>
  <si>
    <t>Rate of Return on Rate Base (ROR) [From Appendix A, Ln. 96]</t>
  </si>
  <si>
    <t>Transmission O&amp;M Attributable to Upgrade</t>
  </si>
  <si>
    <t>Total Transmission O&amp;M [From Appendix A, Ln. 66]</t>
  </si>
  <si>
    <t>Taxes Other than Income Taxes Attributable to Upgrade</t>
  </si>
  <si>
    <t>Total Taxes Other than Income Taxes [From Appendix A, Ln. 75]</t>
  </si>
  <si>
    <t>Income Taxes Attributable to Upgrade</t>
  </si>
  <si>
    <t>Total Income Taxes [From Appendix A, Ln. 106]</t>
  </si>
  <si>
    <t>BOY/EOY Average Net Book Value</t>
  </si>
  <si>
    <t>Total General and Intangible Functionalized to Transmission Attributable to Upgrade</t>
  </si>
  <si>
    <t>29.</t>
  </si>
  <si>
    <t>30.</t>
  </si>
  <si>
    <t>31.</t>
  </si>
  <si>
    <t>32.</t>
  </si>
  <si>
    <t xml:space="preserve">years' calculations will not result in a refund or additional charge for prior years.  NorthWestern reserves the option, but not the obligation, </t>
  </si>
  <si>
    <t>Revenue Credits (Includes Schedule 11)</t>
  </si>
  <si>
    <t>Annual Total Net Revenue Requirement from Schedule 9</t>
  </si>
  <si>
    <t>Average BOY/EOY Net Transmission Under SPP tariff [Line 7 - Line 8]</t>
  </si>
  <si>
    <t>Upgrade Percentage of Net Transmission Under SPP tariff [Line 6 / Line 9]</t>
  </si>
  <si>
    <t>Gross ATRR w/ Incentives</t>
  </si>
  <si>
    <t>Sch. 11 Point to Point Revenue Credit</t>
  </si>
  <si>
    <t>Net ATRR w/ Incentives</t>
  </si>
  <si>
    <r>
      <t>Note 3</t>
    </r>
    <r>
      <rPr>
        <sz val="10"/>
        <rFont val="Arial"/>
        <family val="2"/>
      </rPr>
      <t>:  The portion of Point-to-Point revenues collected by SPP and assigned to NorthWestern are included on ATT 3, Ln. 4.  Any demand revenue margins collected directly by NorthWestern for "grandfathered" bundled contracts will be included on ATT 3, Ln. 6.  See note on "Inputs" worksheet, Pg. 2, Ln. 20 regarding remaining pre-OATT contracts.</t>
    </r>
  </si>
  <si>
    <t>Attachment 12, Base Plan Funded Projects</t>
  </si>
  <si>
    <t>SPP BASE PLAN FUNDED UPGRADE SUMMARY LISTS:</t>
  </si>
  <si>
    <t>Attachment 12, SPP Base Plan Funded Projects</t>
  </si>
  <si>
    <t>SPP BASE PLAN FUNDED UPGRADE SUMMARY LISTS (Continued):</t>
  </si>
  <si>
    <r>
      <t>TOTAL</t>
    </r>
    <r>
      <rPr>
        <sz val="12"/>
        <rFont val="Arial"/>
        <family val="2"/>
      </rPr>
      <t xml:space="preserve"> (Net Plant, ATRR w/o Incentives, Incentive ATRR) for SPP Base Plan Funded Upgrades</t>
    </r>
  </si>
  <si>
    <t>SPP BASE PLAN FUNDED UPGRADE DETAILS:</t>
  </si>
  <si>
    <t>ATTACHMENT 12 - SPP Base Plan Funded Projects</t>
  </si>
  <si>
    <t>[From ATT-3, Ln. 10]</t>
  </si>
  <si>
    <t>Rev. Rqmt. (w/o incentives) from SPP Base Plan Funded Upgrades (Schedule 11 Revenue)                       [From ATT-12, Page 2, Ln. 39, ATRR w/o Incentives]</t>
  </si>
  <si>
    <t xml:space="preserve">[Sum Line 54 (Page 1) , Line 10 (Page 2), Line 20 (Page 2), &amp; Line 38 (Page 2)] </t>
  </si>
  <si>
    <t>ATTACHMENT 1.5.1a - RATE BASE ADJUSTMENT MECHANISM TCJA</t>
  </si>
  <si>
    <t>ATTACHMENT 1.5.2a - RATE BASE ADJUSTMENT MECHANISM TAX CHANGE</t>
  </si>
  <si>
    <t>ATTACHMENT 1.6 - INCOME TAX ALLOWANCE ADJUSTMENT MECHANISM (ITAAM)</t>
  </si>
  <si>
    <t>ATTACHMENT 1.6.1a - TCJA INCOME TAX ALLOWANCE ADJUSTMENT MECHANISM</t>
  </si>
  <si>
    <t>ATTACHMENT 1.6.2a - TAX CHANGE INCOME TAX ALLOWANCE ADJUSTMENT MECHANISM</t>
  </si>
  <si>
    <t>TAX INFORMATION</t>
  </si>
  <si>
    <t>Total (Acct 190) - Beginning Balance</t>
  </si>
  <si>
    <t>ATT 1 - ADIT, Pg. 1, Ln. 16, Column (A)</t>
  </si>
  <si>
    <t>Total (Acct 190) - Ending Balance</t>
  </si>
  <si>
    <t>ATT 1 - ADIT, Pg. 1, Ln. 16, Column (B)</t>
  </si>
  <si>
    <t>Regulatory Assets / Liabilities - Beginning Balance</t>
  </si>
  <si>
    <t>ATT 1 - ADIT, Pg. 1, Ln. 1, Column (A)</t>
  </si>
  <si>
    <t>Regulatory Assets / Liabilities - Ending Balance</t>
  </si>
  <si>
    <t>ATT 1 - ADIT, Pg. 1, Ln. 1, Column (B)</t>
  </si>
  <si>
    <t>Unbilled Revenue - Beginning Balance</t>
  </si>
  <si>
    <t>ATT 1 - ADIT, Pg. 1, Ln. 2, Column (A)</t>
  </si>
  <si>
    <t>Unbilled Revenue - Ending Balance</t>
  </si>
  <si>
    <t>ATT 1 - ADIT, Pg. 1, Ln. 2, Column (B)</t>
  </si>
  <si>
    <t>Compensation Accruals - Beginning Balance</t>
  </si>
  <si>
    <t>ATT 1 - ADIT, Pg. 1, Ln. 3, Column (A)</t>
  </si>
  <si>
    <t>Compensation Accruals - Ending Balance</t>
  </si>
  <si>
    <t>ATT 1 - ADIT, Pg. 1, Ln. 3, Column (B)</t>
  </si>
  <si>
    <t>Reserves &amp; Accruals - Beginning Balance</t>
  </si>
  <si>
    <t>ATT 1 - ADIT, Pg. 1, Ln. 4, Column (A)</t>
  </si>
  <si>
    <t>Reserves &amp; Accruals - Ending Balance</t>
  </si>
  <si>
    <t>ATT 1 - ADIT, Pg. 1, Ln. 4, Column (B)</t>
  </si>
  <si>
    <t>Pension / Post Retirement Benefits - Beginning Balance</t>
  </si>
  <si>
    <t>ATT 1 - ADIT, Pg. 1, Ln. 5, Column (A)</t>
  </si>
  <si>
    <t>Pension / Post Retirement Benefits - Ending Balance</t>
  </si>
  <si>
    <t>ATT 1 - ADIT, Pg. 1, Ln. 5, Column (B)</t>
  </si>
  <si>
    <t>Environmental Liability - Beginning Balance</t>
  </si>
  <si>
    <t>ATT 1 - ADIT, Pg. 1, Ln. 6, Column (A)</t>
  </si>
  <si>
    <t>Environmental Liability - Ending Balance</t>
  </si>
  <si>
    <t>ATT 1 - ADIT, Pg. 1, Ln. 6, Column (B)</t>
  </si>
  <si>
    <t>Interest Rate Hedge - Beginning Balance</t>
  </si>
  <si>
    <t>ATT 1 - ADIT, Pg. 1, Ln. 7, Column (A)</t>
  </si>
  <si>
    <t>Interest Rate Hedge - Ending Balance</t>
  </si>
  <si>
    <t>ATT 1 - ADIT, Pg. 1, Ln. 7, Column (B)</t>
  </si>
  <si>
    <t>Customer Advances - Beginning Balance</t>
  </si>
  <si>
    <t>ATT 1 - ADIT, Pg. 1, Ln. 8, Column (A)</t>
  </si>
  <si>
    <t>Customer Advances - Ending Balance</t>
  </si>
  <si>
    <t>ATT 1 - ADIT, Pg. 1, Ln. 8, Column (B)</t>
  </si>
  <si>
    <t>Net Operating Loss - Beginning Balance</t>
  </si>
  <si>
    <t>ATT 1 - ADIT, Pg. 1, Ln. 9, Column (A)</t>
  </si>
  <si>
    <t>Net Operating Loss - Ending Balance</t>
  </si>
  <si>
    <t>ATT 1 - ADIT, Pg. 1, Ln. 9, Column (B)</t>
  </si>
  <si>
    <t>Non-jurisdictional (SD Gas, NE Gas) - Beginning Balance</t>
  </si>
  <si>
    <t>ATT 1 - ADIT, Pg. 1, Ln. 10, Column (A)</t>
  </si>
  <si>
    <t>Non-jurisdictional (SD Gas, NE Gas) - Ending Balance</t>
  </si>
  <si>
    <t>ATT 1 - ADIT, Pg. 1, Ln. 10, Column (B)</t>
  </si>
  <si>
    <t>Total (Acct 281) - Ending Balance</t>
  </si>
  <si>
    <t>Total (Acct 281) - Beginning Balance</t>
  </si>
  <si>
    <t>Total (Acct 282) - Beginning Balance</t>
  </si>
  <si>
    <t>ATT 1 - ADIT, Pg. 1, Ln. 28, Column (A)</t>
  </si>
  <si>
    <t>Total (Acct 282) - Ending Balance</t>
  </si>
  <si>
    <t>ATT 1 - ADIT, Pg. 1, Ln. 28, Column (B)</t>
  </si>
  <si>
    <t>Electric (Accel Depr &amp; Amort.) - Beginning Balance</t>
  </si>
  <si>
    <t>ATT 1 - ADIT, Pg. 1, Ln. 21, Column (A)</t>
  </si>
  <si>
    <t>Electric (Accel Depr &amp; Amort.) - Ending Balance</t>
  </si>
  <si>
    <t>ATT 1 - ADIT, Pg. 1, Ln. 21, Column (B)</t>
  </si>
  <si>
    <t>Gas (Non-jurisdictional) - Beginning Balance</t>
  </si>
  <si>
    <t>ATT 1 - ADIT, Pg. 1, Ln. 22, Column (A)</t>
  </si>
  <si>
    <t>Gas (Non-jurisdictional) - Ending Balance</t>
  </si>
  <si>
    <t>ATT 1 - ADIT, Pg. 1, Ln. 22, Column (B)</t>
  </si>
  <si>
    <t>Total (Acct 283) - Beginning Balance</t>
  </si>
  <si>
    <t>ATT 1 - ADIT, Pg. 1, Ln. 41, Column (A)</t>
  </si>
  <si>
    <t>Total (Acct 283) - Ending Balance</t>
  </si>
  <si>
    <t>ATT 1 - ADIT, Pg. 1, Ln. 41, Column (B)</t>
  </si>
  <si>
    <t>Regulatory Assets - Beginning Balance</t>
  </si>
  <si>
    <t>ATT 1 - ADIT, Pg. 1, Ln. 33, Column (A)</t>
  </si>
  <si>
    <t>Regulatory Assets - Ending Balance</t>
  </si>
  <si>
    <t>ATT 1 - ADIT, Pg. 1, Ln. 33, Column (B)</t>
  </si>
  <si>
    <t>Excess Tax Depreciation - Beginning Balance</t>
  </si>
  <si>
    <t>ATT 1 - ADIT, Pg. 1, Ln. 34, Column (A)</t>
  </si>
  <si>
    <t>Excess Tax Depreciation - Ending Balance</t>
  </si>
  <si>
    <t>ATT 1 - ADIT, Pg. 1, Ln. 34, Column (B)</t>
  </si>
  <si>
    <t>ATT 1 - ADIT, Pg. 1, Ln. 35, Column (A)</t>
  </si>
  <si>
    <t>ATT 1 - ADIT, Pg. 1, Ln. 35, Column (B)</t>
  </si>
  <si>
    <t>Net Operating Loss - Protected</t>
  </si>
  <si>
    <t>XXX.XXabc footnote, Ln. 138, column (b)</t>
  </si>
  <si>
    <t>ATT 1.5.1b, Pg. 1, Ln. 1, Column (A)</t>
  </si>
  <si>
    <t>Non-jurisdictional (SD Gas, NE Gas) - Protected</t>
  </si>
  <si>
    <t>XXX.XXabc footnote, Ln. 151 and 152, column (b)</t>
  </si>
  <si>
    <t>ATT 1.5.1b, Pg. 1, Ln. 2, Column (A)</t>
  </si>
  <si>
    <t>Regulatory Assets / Liabilities - Unprotected</t>
  </si>
  <si>
    <t>XXX.XXabc footnote, Ln. 129, column (c)</t>
  </si>
  <si>
    <t>ATT 1.5.1b, Pg. 1, Ln. 12, Column (A)</t>
  </si>
  <si>
    <t>Unbilled Revenue - Unprotected</t>
  </si>
  <si>
    <t>XXX.XXabc footnote, Ln. 130, column (c)</t>
  </si>
  <si>
    <t>ATT 1.5.1b, Pg. 1, Ln. 13, Column (A)</t>
  </si>
  <si>
    <t xml:space="preserve">Compensation Accruals - Unprotected </t>
  </si>
  <si>
    <t>XXX.XXabc footnote, Ln. 131, column (c)</t>
  </si>
  <si>
    <t>ATT 1.5.1b, Pg. 1, Ln. 14, Column (A)</t>
  </si>
  <si>
    <t xml:space="preserve">Reserves &amp; Accruals - Unprotected </t>
  </si>
  <si>
    <t>XXX.XXabc footnote, Ln. 132, column (c)</t>
  </si>
  <si>
    <t>ATT 1.5.1b, Pg. 1, Ln. 15, Column (A)</t>
  </si>
  <si>
    <t xml:space="preserve">Pension / Post Retirement Benefits - Unprotected </t>
  </si>
  <si>
    <t>XXX.XXabc footnote, Ln. 133, column (c)</t>
  </si>
  <si>
    <t>ATT 1.5.1b, Pg. 1, Ln. 16, Column (A)</t>
  </si>
  <si>
    <t>Environmental Liability - Unprotected</t>
  </si>
  <si>
    <t>XXX.XXabc footnote, Ln. 134, column (c)</t>
  </si>
  <si>
    <t>ATT 1.5.1b, Pg. 1, Ln. 17, Column (A)</t>
  </si>
  <si>
    <t>Interest Rate Hedge - Unprotected</t>
  </si>
  <si>
    <t>XXX.XXabc footnote, Ln. 135, column (c)</t>
  </si>
  <si>
    <t>ATT 1.5.1b, Pg. 1, Ln. 18, Column (A)</t>
  </si>
  <si>
    <t>Customer Advances - Unprotected</t>
  </si>
  <si>
    <t>XXX.XXabc footnote, Ln. 136, column (c)</t>
  </si>
  <si>
    <t>ATT 1.5.1b, Pg. 1, Ln. 19, Column (A)</t>
  </si>
  <si>
    <t>Net Operating Loss - Unprotected</t>
  </si>
  <si>
    <t>XXX.XXabc footnote, Ln. 137, column (c)</t>
  </si>
  <si>
    <t>ATT 1.5.1b, Pg. 1, Ln. 20, Column (A)</t>
  </si>
  <si>
    <t>Non-jurisdictional (SD Gas, NE Gas) - Unprotected</t>
  </si>
  <si>
    <t>XXX.XXabc footnote, Ln. 151 and 152, column (c)</t>
  </si>
  <si>
    <t>ATT 1.5.1b, Pg. 1, Ln. 21, Column (A)</t>
  </si>
  <si>
    <t>Excess Tax Depreciation / Other Property (282 - Protected)</t>
  </si>
  <si>
    <t>XXX.XXabc footnote, Ln. 137, column (e)</t>
  </si>
  <si>
    <t>ATT 1.5.1b, Pg. 1, Ln. 35, Column (A)</t>
  </si>
  <si>
    <t>Non-jurisdictional (SD Gas, NE Gas) - (282 - Protected)</t>
  </si>
  <si>
    <t>XXX.XXabc footnote, Ln. 151 and 152, column (e)</t>
  </si>
  <si>
    <t>ATT 1.5.1b, Pg. 1, Ln. 36, Column (A)</t>
  </si>
  <si>
    <t>Excess Tax Depreciation - Normalizing (282)</t>
  </si>
  <si>
    <t>XXX.XXabc footnote, Ln. 137, column (i)</t>
  </si>
  <si>
    <t>ATT 1.5.1b, Pg. 1, Ln. 47, Column (A)</t>
  </si>
  <si>
    <t>Non-jurisdictional (SD Gas, NE Gas) - Normalizing (282)</t>
  </si>
  <si>
    <t>XXX.XXabc footnote, Ln. 151 and 152, column (i)</t>
  </si>
  <si>
    <t>ATT 1.5.1b, Pg. 1, Ln. 48, Column (A)</t>
  </si>
  <si>
    <t>Regulatory Assets - Unprotected (283)</t>
  </si>
  <si>
    <t>XXX.XXabc footnote, Ln. 129, column (f)</t>
  </si>
  <si>
    <t>ATT 1.5.1b, Pg. 1, Ln. 49, Column (A)</t>
  </si>
  <si>
    <t>Non-jurisdictional (SD Gas, NE Gas) - Unprotected (283)</t>
  </si>
  <si>
    <t>XXX.XXabc footnote, Ln. 151 and 152, column (f)</t>
  </si>
  <si>
    <t>ATT 1.5.1b, Pg. 1, Ln. 50, Column (A)</t>
  </si>
  <si>
    <t>XXX.XXabc footnote, Ln. 231, column (d)</t>
  </si>
  <si>
    <t>ATT 1.5.1b, Pg. 1, Ln. 32, Column (F)</t>
  </si>
  <si>
    <t>XXX.XXabc footnote, Ln. 231, column (g) &amp; (i)</t>
  </si>
  <si>
    <t>ATT 1.5.1b, Pg. 1, Ln. 61, Column (F)</t>
  </si>
  <si>
    <t>ATT 1.5.1a, Pg. 1, Ln. 1, Column (B)</t>
  </si>
  <si>
    <t>ATT 1.5.1a, Pg. 1, Ln. 1, Column (G)</t>
  </si>
  <si>
    <t>ATT 1.5.1a, Pg. 1, Ln. 2, Column (B)</t>
  </si>
  <si>
    <t>ATT 1.5.1a, Pg. 1, Ln. 2, Column (G)</t>
  </si>
  <si>
    <t>ATT 1.5.1a, Pg. 1, Ln. 12, Column (B)</t>
  </si>
  <si>
    <t>ATT 1.5.1a, Pg. 1, Ln. 12, Column (G)</t>
  </si>
  <si>
    <t>ATT 1.5.1a, Pg. 1, Ln. 13, Column (B)</t>
  </si>
  <si>
    <t>ATT 1.5.1a, Pg. 1, Ln. 13, Column (G)</t>
  </si>
  <si>
    <t>ATT 1.5.1a, Pg. 1, Ln. 14, Column (B)</t>
  </si>
  <si>
    <t>ATT 1.5.1a, Pg. 1, Ln. 14, Column (G)</t>
  </si>
  <si>
    <t>ATT 1.5.1a, Pg. 1, Ln. 15, Column (B)</t>
  </si>
  <si>
    <t>ATT 1.5.1a, Pg. 1, Ln. 15, Column (G)</t>
  </si>
  <si>
    <t>ATT 1.5.1a, Pg. 1, Ln. 16, Column (B)</t>
  </si>
  <si>
    <t>ATT 1.5.1a, Pg. 1, Ln. 16, Column (G)</t>
  </si>
  <si>
    <t>ATT 1.5.1a, Pg. 1, Ln. 17, Column (B)</t>
  </si>
  <si>
    <t>ATT 1.5.1a, Pg. 1, Ln. 17, Column (G)</t>
  </si>
  <si>
    <t>ATT 1.5.1a, Pg. 1, Ln. 18, Column (B)</t>
  </si>
  <si>
    <t>ATT 1.5.1a, Pg. 1, Ln. 18, Column (G)</t>
  </si>
  <si>
    <t>ATT 1.5.1a, Pg. 1, Ln. 19, Column (B)</t>
  </si>
  <si>
    <t>ATT 1.5.1a, Pg. 1, Ln. 19, Column (G)</t>
  </si>
  <si>
    <t>ATT 1.5.1a, Pg. 1, Ln. 20, Column (B)</t>
  </si>
  <si>
    <t>ATT 1.5.1a, Pg. 1, Ln. 20, Column (G)</t>
  </si>
  <si>
    <t>ATT 1.5.1a, Pg. 1, Ln. 21, Column (B)</t>
  </si>
  <si>
    <t>ATT 1.5.1a, Pg. 1, Ln. 21, Column (G)</t>
  </si>
  <si>
    <t>Excess Depreciation - Electric - Protected</t>
  </si>
  <si>
    <t>ATT 1.5.1a, Pg. 1, Ln. 35, Column (B)</t>
  </si>
  <si>
    <t>ATT 1.5.1a, Pg. 1, Ln. 35, Column (G)</t>
  </si>
  <si>
    <t>ATT 1.5.1a, Pg. 1, Ln. 36, Column (B)</t>
  </si>
  <si>
    <t>ATT 1.5.1a, Pg. 1, Ln. 36, Column (G)</t>
  </si>
  <si>
    <t>ATT 1.5.1a, Pg. 1, Ln. 47, Column (B)</t>
  </si>
  <si>
    <t>Page 3 of 5</t>
  </si>
  <si>
    <t>ATT 1.5.1a, Pg. 1, Ln. 47, Column (G)</t>
  </si>
  <si>
    <t>ATT 1.5.1a, Pg. 1, Ln. 48, Column (B)</t>
  </si>
  <si>
    <t>ATT 1.5.1a, Pg. 1, Ln. 48, Column (G)</t>
  </si>
  <si>
    <t>ATT 1.5.1a, Pg. 1, Ln. 49, Column (B)</t>
  </si>
  <si>
    <t>ATT 1.5.1a, Pg. 1, Ln. 49, Column (G)</t>
  </si>
  <si>
    <t>ATT 1.5.1a, Pg. 1, Ln. 50, Column (B)</t>
  </si>
  <si>
    <t>ATT 1.5.1a, Pg. 1, Ln. 50, Column (G)</t>
  </si>
  <si>
    <t>ATT 1.5.1a - Pg. 1, Ln. 28, Column (B)</t>
  </si>
  <si>
    <t>ATT 1.5.1a - Pg. 1, Ln. 28, Column (G)</t>
  </si>
  <si>
    <t>ATT 1.5.1a - Pg. 1, Ln. 57, Column (B)</t>
  </si>
  <si>
    <t>ATT 1.5.1a - Pg. 1, Ln. 57, Column (G)</t>
  </si>
  <si>
    <t xml:space="preserve">182.3 Gross-up </t>
  </si>
  <si>
    <t>ATT 1.5 - Pg. 1, Ln. 19, Column (B)</t>
  </si>
  <si>
    <t>ATT 1.5 - Pg. 1, Ln. 19, Column (G)</t>
  </si>
  <si>
    <t>ATT 1.5 - Pg. 1, Ln. 21, Column (B)</t>
  </si>
  <si>
    <t xml:space="preserve">ATT 1.5 - Pg. 1, Ln. 21, Column (G) </t>
  </si>
  <si>
    <t>254 Gross-up</t>
  </si>
  <si>
    <t>ATT 1.5 - Pg. 1, Ln. 43, Column (B)</t>
  </si>
  <si>
    <t>ATT 1.5 - Pg. 1, Ln. 43, Column (G)</t>
  </si>
  <si>
    <t>ATT 1.5 - Pg. 1, Ln. 45, Column (B)</t>
  </si>
  <si>
    <t>ATT 1.5 - Pg. 1, Ln. 45, Column (G)</t>
  </si>
  <si>
    <t>ATT 1.6.1a - Pg.1, Ln. 28, Column (A)</t>
  </si>
  <si>
    <t>ATT 1.6.1a - Pg.1, Ln. 56, Column (A)</t>
  </si>
  <si>
    <t>ATT 1.6 - Pg. 1, Ln. 19, Column (A)</t>
  </si>
  <si>
    <t>ATT 1.6 - Pg. 1, Ln. 41, Column (A)</t>
  </si>
  <si>
    <t>to be determined</t>
  </si>
  <si>
    <t>ATT 1.5.2b, Pg. 1, Ln. 1, Column (A)</t>
  </si>
  <si>
    <t>ATT 1.5.2b, Pg. 1, Ln. 2, Column (A)</t>
  </si>
  <si>
    <t>ATT 1.5.2b, Pg. 1, Ln. 12, Column (A)</t>
  </si>
  <si>
    <t>ATT 1.5.2b, Pg. 1, Ln. 13, Column (A)</t>
  </si>
  <si>
    <t>ATT 1.5.2b, Pg. 1, Ln. 14, Column (A)</t>
  </si>
  <si>
    <t>ATT 1.5.2b, Pg. 1, Ln. 15, Column (A)</t>
  </si>
  <si>
    <t>ATT 1.5.2b, Pg. 1, Ln. 16, Column (A)</t>
  </si>
  <si>
    <t>ATT 1.5.2b, Pg. 1, Ln. 17, Column (A)</t>
  </si>
  <si>
    <t>ATT 1.5.2b, Pg. 1, Ln. 18, Column (A)</t>
  </si>
  <si>
    <t>ATT 1.5.2b, Pg. 1, Ln. 19, Column (A)</t>
  </si>
  <si>
    <t>ATT 1.5.2b, Pg. 1, Ln. 20, Column (A)</t>
  </si>
  <si>
    <t>ATT 1.5.2b, Pg. 1, Ln. 21, Column (A)</t>
  </si>
  <si>
    <t>ATT 1.5.2b, Pg. 1, Ln. 35, Column (A)</t>
  </si>
  <si>
    <t>ATT 1.5.2b, Pg. 1, Ln. 36, Column (A)</t>
  </si>
  <si>
    <t>ATT 1.5.2b, Pg. 1, Ln. 47, Column (A)</t>
  </si>
  <si>
    <t>ATT 1.5.2b, Pg. 1, Ln. 48, Column (A)</t>
  </si>
  <si>
    <t>ATT 1.5.2b, Pg. 1, Ln. 49, Column (A)</t>
  </si>
  <si>
    <t>ATT 1.5.2b, Pg. 1, Ln. 50, Column (A)</t>
  </si>
  <si>
    <t>ATT 1.5.2b, Pg. 1, Ln. 32, Column (F)</t>
  </si>
  <si>
    <t>ATT 1.5.2b, Pg. 1, Ln. 61, Column (F)</t>
  </si>
  <si>
    <t>ATT 1.5.2a, Pg. 1, Ln. 1, Column (B)</t>
  </si>
  <si>
    <t>ATT 1.5.2a, Pg. 1, Ln. 1, Column (G)</t>
  </si>
  <si>
    <t>ATT 1.5.2a, Pg. 1, Ln. 2, Column (B)</t>
  </si>
  <si>
    <t>ATT 1.5.2a, Pg. 1, Ln. 2, Column (G)</t>
  </si>
  <si>
    <t>ATT 1.5.2a, Pg. 1, Ln. 12, Column (B)</t>
  </si>
  <si>
    <t>ATT 1.5.2a, Pg. 1, Ln. 12, Column (G)</t>
  </si>
  <si>
    <t>ATT 1.5.2a, Pg. 1, Ln. 13, Column (B)</t>
  </si>
  <si>
    <t>ATT 1.5.2a, Pg. 1, Ln. 13, Column (G)</t>
  </si>
  <si>
    <t>ATT 1.5.2a, Pg. 1, Ln. 14, Column (B)</t>
  </si>
  <si>
    <t>ATT 1.5.2a, Pg. 1, Ln. 14, Column (G)</t>
  </si>
  <si>
    <t>ATT 1.5.2a, Pg. 1, Ln. 15, Column (B)</t>
  </si>
  <si>
    <t>ATT 1.5.2a, Pg. 1, Ln. 15, Column (G)</t>
  </si>
  <si>
    <t>ATT 1.5.2a, Pg. 1, Ln. 16, Column (B)</t>
  </si>
  <si>
    <t>ATT 1.5.2a, Pg. 1, Ln. 16, Column (G)</t>
  </si>
  <si>
    <t>ATT 1.5.2a, Pg. 1, Ln. 17, Column (B)</t>
  </si>
  <si>
    <t>ATT 1.5.2a, Pg. 1, Ln. 17, Column (G)</t>
  </si>
  <si>
    <t>ATT 1.5.2a, Pg. 1, Ln. 18, Column (B)</t>
  </si>
  <si>
    <t>ATT 1.5.2a, Pg. 1, Ln. 18, Column (G)</t>
  </si>
  <si>
    <t>ATT 1.5.2a, Pg. 1, Ln. 19, Column (B)</t>
  </si>
  <si>
    <t>ATT 1.5.2a, Pg. 1, Ln. 19, Column (G)</t>
  </si>
  <si>
    <t>ATT 1.5.2a, Pg. 1, Ln. 20, Column (B)</t>
  </si>
  <si>
    <t>ATT 1.5.2a, Pg. 1, Ln. 20, Column (G)</t>
  </si>
  <si>
    <t>ATT 1.5.2a, Pg. 1, Ln. 21, Column (B)</t>
  </si>
  <si>
    <t>ATT 1.5.2a, Pg. 1, Ln. 21, Column (G)</t>
  </si>
  <si>
    <t>ATT 1.5.2a, Pg. 1, Ln. 35, Column (B)</t>
  </si>
  <si>
    <t>ATT 1.5.2a, Pg. 1, Ln. 35, Column (G)</t>
  </si>
  <si>
    <t>ATT 1.5.2a, Pg. 1, Ln. 36, Column (B)</t>
  </si>
  <si>
    <t>ATT 1.5.2a, Pg. 1, Ln. 36, Column (G)</t>
  </si>
  <si>
    <t>ATT 1.5.2a, Pg. 1, Ln. 47, Column (B)</t>
  </si>
  <si>
    <t>ATT 1.5.2a, Pg. 1, Ln. 47, Column (G)</t>
  </si>
  <si>
    <t>ATT 1.5.2a, Pg. 1, Ln. 48, Column (B)</t>
  </si>
  <si>
    <t>ATT 1.5.2a, Pg. 1, Ln. 48, Column (G)</t>
  </si>
  <si>
    <t>ATT 1.5.2a, Pg. 1, Ln. 49, Column (B)</t>
  </si>
  <si>
    <t>ATT 1.5.2a, Pg. 1, Ln. 49, Column (G)</t>
  </si>
  <si>
    <t>ATT 1.5.2a, Pg. 1, Ln. 50, Column (B)</t>
  </si>
  <si>
    <t>ATT 1.5.2a, Pg. 1, Ln. 50, Column (G)</t>
  </si>
  <si>
    <t>ATT 1.5.2a - Pg. 1, Ln. 28, Column (B)</t>
  </si>
  <si>
    <t>ATT 1.5.2a - Pg. 1, Ln. 28, Column (G)</t>
  </si>
  <si>
    <t>ATT 1.5.2a - Pg. 1, Ln. 57, Column (B)</t>
  </si>
  <si>
    <t>ATT 1.5.2a - Pg. 1, Ln. 57, Column (G)</t>
  </si>
  <si>
    <t>ATT 1.6.2a - Pg.1, Ln. 28, Column (A)</t>
  </si>
  <si>
    <t>ATT 1.6.2a - Pg.1, Ln. 56, Column (A)</t>
  </si>
  <si>
    <t>Page 4 of 5</t>
  </si>
  <si>
    <t>Federal Income Tax Rate - Current rate</t>
  </si>
  <si>
    <t>Federal Income Tax Rate - Prior to TCJA</t>
  </si>
  <si>
    <t>ATT - 1.5.1b</t>
  </si>
  <si>
    <t>Federal Income Tax Rate - After TCJA</t>
  </si>
  <si>
    <t>State Income Tax Rate - Prior to TCJA</t>
  </si>
  <si>
    <t>State Income Tax Rate - After TCJA</t>
  </si>
  <si>
    <t>Page 5 of 5</t>
  </si>
  <si>
    <t>36a</t>
  </si>
  <si>
    <t>[From ATT 1.5, Pg. 1, Ln. 23]</t>
  </si>
  <si>
    <t>36b</t>
  </si>
  <si>
    <t>[From ATT 1.5, Pg. 1, Ln. 47]</t>
  </si>
  <si>
    <t>36c</t>
  </si>
  <si>
    <t>(Line 36a + Line 36b)</t>
  </si>
  <si>
    <t>103a</t>
  </si>
  <si>
    <t>[From ATT 1.6, Pg. 1, Ln. 21]</t>
  </si>
  <si>
    <t>103b</t>
  </si>
  <si>
    <t>[From ATT 1.6, Pg. 1, Ln. 43]</t>
  </si>
  <si>
    <t>103c</t>
  </si>
  <si>
    <t>103d</t>
  </si>
  <si>
    <t xml:space="preserve">Tax Gross Up </t>
  </si>
  <si>
    <t>(Line 102 + 1)</t>
  </si>
  <si>
    <t>103e</t>
  </si>
  <si>
    <t>(Line 103c * Line 103d)</t>
  </si>
  <si>
    <t>Beginning of Year Balance</t>
  </si>
  <si>
    <t>End of Year Balance</t>
  </si>
  <si>
    <t>Average Balance</t>
  </si>
  <si>
    <t>Regulatory Assets / Liabilities</t>
  </si>
  <si>
    <t>Unbilled Revenue</t>
  </si>
  <si>
    <t>Compensation Accruals</t>
  </si>
  <si>
    <t>Reserves &amp; Accruals</t>
  </si>
  <si>
    <t>Pension / Postretirement Benefits</t>
  </si>
  <si>
    <t>Interest Rate Hedge</t>
  </si>
  <si>
    <t>Customer Advances</t>
  </si>
  <si>
    <t>Net Operating Loss</t>
  </si>
  <si>
    <t>(H)</t>
  </si>
  <si>
    <t>(I)</t>
  </si>
  <si>
    <t>Plant Related</t>
  </si>
  <si>
    <t>Labor Related</t>
  </si>
  <si>
    <t>Total Added to Ratebase</t>
  </si>
  <si>
    <t>Accel Depr &amp; Amort.</t>
  </si>
  <si>
    <t>Attachment 1.5 - RATE BASE ADJUSTMENT MECHANISM (RBAM)</t>
  </si>
  <si>
    <t>(J)</t>
  </si>
  <si>
    <t>(K)</t>
  </si>
  <si>
    <t>(L)</t>
  </si>
  <si>
    <t>(M)</t>
  </si>
  <si>
    <t>(N)</t>
  </si>
  <si>
    <t>Amortization Expense</t>
  </si>
  <si>
    <t>Adjustments
(Note 2a)</t>
  </si>
  <si>
    <t>Adjustments
(Note 2b)</t>
  </si>
  <si>
    <t>Average Ratebase Adjustment Mechanism - Transmission</t>
  </si>
  <si>
    <t>Reference</t>
  </si>
  <si>
    <t>ADIT</t>
  </si>
  <si>
    <t>Identification (1)</t>
  </si>
  <si>
    <t>Tax Cuts and Jobs Act (TCJA)</t>
  </si>
  <si>
    <t>Total Protected Transmission Account 182.3</t>
  </si>
  <si>
    <t>Total Unprotected Transmission Account 182.3</t>
  </si>
  <si>
    <t>Total Account 182.3 EDIT, before gross-up</t>
  </si>
  <si>
    <t>Gross-up</t>
  </si>
  <si>
    <t>Total Account 182.3 EDIT</t>
  </si>
  <si>
    <t xml:space="preserve">  To Appendix A, Line 36a</t>
  </si>
  <si>
    <t>Total Protected Transmission Account 254</t>
  </si>
  <si>
    <t>Total Unprotected Transmission Account 254</t>
  </si>
  <si>
    <t>Total Account 254 EDIT, before gross-up</t>
  </si>
  <si>
    <t>Total Account 254 EDIT</t>
  </si>
  <si>
    <t xml:space="preserve">  To Appendix A, Line 36b</t>
  </si>
  <si>
    <t>Attachment 1.5</t>
  </si>
  <si>
    <t>Attachment 1.5.1a - RATE BASE ADJUSTMENT MECHANISM - TCJA</t>
  </si>
  <si>
    <t>Total Account 182.3</t>
  </si>
  <si>
    <t>Total Account 254</t>
  </si>
  <si>
    <t>Attachment 1.5.1a</t>
  </si>
  <si>
    <t>Attachment 1.5.1b - REMEASUREMENT OF EDIT</t>
  </si>
  <si>
    <t>Description of changes in tax law</t>
  </si>
  <si>
    <t>Historical</t>
  </si>
  <si>
    <t>New</t>
  </si>
  <si>
    <t>Federal income tax rate</t>
  </si>
  <si>
    <t>State income tax rate</t>
  </si>
  <si>
    <t>Federal benefit for deductibility of state income tax</t>
  </si>
  <si>
    <t>State benefit for deductibility of federal income tax</t>
  </si>
  <si>
    <t>Composite federal/state income tax rate</t>
  </si>
  <si>
    <t>Tax gross-up factor</t>
  </si>
  <si>
    <t>Remeasurement of ADIT, subsequent adjustments other than amortization, allocation to transmission formula rate and tax gross-up</t>
  </si>
  <si>
    <t>ADIT Balance before Rate Change</t>
  </si>
  <si>
    <t>ADIT Balance After Rate Change 
(Col A / E13 x F13)</t>
  </si>
  <si>
    <t>Subtotal Account 182.3 - Protected</t>
  </si>
  <si>
    <t>To 1.5.1a - TCJA RBAM</t>
  </si>
  <si>
    <t>Allocator (See Note 3)</t>
  </si>
  <si>
    <t>Subtotal Account 182.3 - Unprotected</t>
  </si>
  <si>
    <t>Conform - [FF1, pg. XXX, ln. XX, col. abc footnote] (From Inputs, Line 57)</t>
  </si>
  <si>
    <t>Accel Depr &amp; Amort. - Protected</t>
  </si>
  <si>
    <t>Subtotal Account 254 - Protected</t>
  </si>
  <si>
    <t>Accel Depr &amp; Amort. - Unprotected (282)</t>
  </si>
  <si>
    <t>Non-jurisdictional (SD Gas, NE Gas) - Unprotected (282)</t>
  </si>
  <si>
    <t>Subtotal Account 254 - Unprotected</t>
  </si>
  <si>
    <t>Conform - [FF1, pg. XXX, ln. XX, col. abc footnote] (From Inputs, Line 58)</t>
  </si>
  <si>
    <t>Attachment 1.5.1b</t>
  </si>
  <si>
    <t>Attachment 1.6 - INCOME TAX ALLOWANCE ADJUSTMENT MECHANISM (ITAAM)</t>
  </si>
  <si>
    <t>Amortization Expense (from 1.6.xx detail workpaper tabs)</t>
  </si>
  <si>
    <t>Tax Cuts and Jobs Act (TCJA) (2)</t>
  </si>
  <si>
    <t>Open (3)</t>
  </si>
  <si>
    <t xml:space="preserve">  To Appendix A, Line 103a</t>
  </si>
  <si>
    <t xml:space="preserve">  To Appendix A, Line 103b</t>
  </si>
  <si>
    <t>Attachment 1.6</t>
  </si>
  <si>
    <t>Attachment 1.6.1a - TCJA INCOME TAX ALLOWANCE ADJUSTMENT MECHANISM</t>
  </si>
  <si>
    <t>Amortization Expense from 1.5.1a-TCJA RBAM</t>
  </si>
  <si>
    <t>Total Amort Exp Transmission Credit/(Debit)</t>
  </si>
  <si>
    <t>Protected (1) / Unprotected (2)</t>
  </si>
  <si>
    <t>Amortization Account</t>
  </si>
  <si>
    <t>Amortization Period</t>
  </si>
  <si>
    <t>Protected</t>
  </si>
  <si>
    <t>RSG / Book Lives</t>
  </si>
  <si>
    <t>Non-Jurisdictional</t>
  </si>
  <si>
    <t>N/A</t>
  </si>
  <si>
    <t>Total Protected Transmission Amortization Account 182.3</t>
  </si>
  <si>
    <t>To 1.6 - ITAAM Summary</t>
  </si>
  <si>
    <t>Total Account 182.3 Amortization</t>
  </si>
  <si>
    <t>Total Unprotected Transmission Amortization Account 182.3</t>
  </si>
  <si>
    <t>ARAM / Book Lives</t>
  </si>
  <si>
    <t>Total Protected Transmission Amortization Account 254</t>
  </si>
  <si>
    <t>Unprotected</t>
  </si>
  <si>
    <t>Total Account 254 Amortization</t>
  </si>
  <si>
    <t>Total Unprotected Transmission Amortization Account 254</t>
  </si>
  <si>
    <t>Attachment 1.6.1a</t>
  </si>
  <si>
    <t>Grand Total</t>
  </si>
  <si>
    <t>26-27</t>
  </si>
  <si>
    <t>30-43</t>
  </si>
  <si>
    <t>114.62c</t>
  </si>
  <si>
    <t>114.63c</t>
  </si>
  <si>
    <t>114.64c</t>
  </si>
  <si>
    <t>114.65c</t>
  </si>
  <si>
    <t>114.66c</t>
  </si>
  <si>
    <t>227 footnote SD Ops Ln 8c</t>
  </si>
  <si>
    <t>227 footnote SD Ops Ln 8b</t>
  </si>
  <si>
    <t>227 footnote SD Ops Ln16c</t>
  </si>
  <si>
    <t xml:space="preserve">Line left intentionally blank </t>
  </si>
  <si>
    <t>This represents "Point-To-Point" demand revenue margins derived from any "grandfathered" agreements.  The non-RQ "Demand Revenues" found in FF1, Pg. 310, Col. h for these customers should be reduced by the sum of the Demand Charges (costs) found in FF1, Pg. 326, col. j for these customers.</t>
  </si>
  <si>
    <t>110.69c</t>
  </si>
  <si>
    <t>110.81c</t>
  </si>
  <si>
    <t>112.61c</t>
  </si>
  <si>
    <t>204 footnote SD Ops Ln 91 BOY and EOY average [From Inputs, Pg. 1, Ln. 32]</t>
  </si>
  <si>
    <t>204 footnote SD Ops Ln61b and Ln61g average [From Inputs, Pg. 1, Ln. 66]</t>
  </si>
  <si>
    <t>204 footnote SD Ops Ln49b and Ln49g average + Ln50b and 50g average [From Inputs, Pg. 1, Lns. 64 &amp; 65]</t>
  </si>
  <si>
    <t>204 footnote SD Ops Ln 84b and 84g average [From Inputs, Pg. 1, Ln. 41]</t>
  </si>
  <si>
    <t>204 footnote SD Ops Ln 5 BOY and EOY average [From Inputs, Pg. 1, Ln. 31]</t>
  </si>
  <si>
    <t>320 footnote SD Ops Ln197b [From Inputs, Pg. 1, Ln. 50]</t>
  </si>
  <si>
    <t>320 footnote SD Ops Ln189b [From Inputs, Pg. 1, Ln. 48]</t>
  </si>
  <si>
    <t>320 footnote SD Ops Ln191b [From Inputs, Pg. 1, Ln. 49]</t>
  </si>
  <si>
    <t>[FF1, Pg. 262 footnote SD Ops][From Inputs, Pg. 1, Lns. 68-70]</t>
  </si>
  <si>
    <t>Social Security (FICA/OAB)[FF1, Pg. 262 footnote SD Ops][From Inputs, Pg. 1, Lns. 75 &amp; 76]</t>
  </si>
  <si>
    <t>Federal Unemployment Comp. [FF1, Pg. 262 footnote SD Ops][From Inputs, Pg. 1, Ln. 77]</t>
  </si>
  <si>
    <t>Corporate Franchise-Retail [Current Year][From Inputs, Pg. 1, Ln. 73][FF1, Pg. 262 SD Ops]</t>
  </si>
  <si>
    <t>Total Other Taxes [FF1, Pg. 114.14g][From Inputs, Pg. 1, Ln. 23]</t>
  </si>
  <si>
    <t>Rent From Electric Property [FF1, Pg. 300 footnote SD Ops][From Inputs, Pg. 1, Ln. 67]</t>
  </si>
  <si>
    <t>FF1 Pg. 227 footnote SD Ops Ln. 8c [From Inputs, Pg. 1, Ln. 34]</t>
  </si>
  <si>
    <t>FF1 Pg. 227 footnote SD Ops Ln. 8b [From Inputs, Pg. 1, Ln. 34a]</t>
  </si>
  <si>
    <t>FF1 Pg. 320 footnote SD Ops Ln. 189b [From Inputs, Pg. 1, Ln. 48]</t>
  </si>
  <si>
    <t>FF1 320 footnote SD Ops Ln. 169b [From Inputs, Pg. 2, Ln. 7]</t>
  </si>
  <si>
    <t>FF1 320 footnote SD Ops Ln. 112b [From Inputs, Pg. 1, Ln. 47]</t>
  </si>
  <si>
    <t>FF1 320 footnote SD Ops Ln. 96b [From Inputs, Pg. 1, Ln. 46]</t>
  </si>
  <si>
    <t>FF1 204 footnote SD Ops Ln. 55 BOY and EOY average [From Inputs, Pg. 1, Ln. 33]</t>
  </si>
  <si>
    <t>Unamortized Debt Expense (Acct 181)  Beg of Year [Form 1, Pg. 110, Ln. 69, Col. d] [From Inputs, Pg. 2, Ln. 23]</t>
  </si>
  <si>
    <t>Unamortized Debt Expense (Acct 181) End of Year  [Form 1, Pg. 110, Ln. 69, Col. c] [From Inputs, Pg. 2, Ln. 24]</t>
  </si>
  <si>
    <t>Unamortized Loss on Reacquired Debt - Beginning of Year (Acct 189)[Form 1, Pg. 110, Ln. 81, Col. d] [From Inputs, Pg. 2, Ln. 25]</t>
  </si>
  <si>
    <t>Unamortized Loss on Reacquired Debt - End of Year (Acct 189) [Form 1, Pg. 110, Ln. 81, Col. c] [From Inputs, Pg. 2, Ln. 26]</t>
  </si>
  <si>
    <t>Unamortized Gain on Reacquired Debt - Beginning of Yr (Acct 257)[Form 1, Pg. 112, Ln. 61, Col. d] [From Inputs, Pg. 2, Ln. 27]</t>
  </si>
  <si>
    <t>Unamortized Gain on Reacquired Debt -End of Yr (Acct 257)[Form 1, Pg. 112, Ln. 61, Col. c] [From Inputs, Pg. 2, Ln. 28]</t>
  </si>
  <si>
    <t>List of Reference Updates</t>
  </si>
  <si>
    <t>Reference Updates</t>
  </si>
  <si>
    <t>NorthWestern Corporation (South Dakota)</t>
  </si>
  <si>
    <t>SPP Formula Rate Template</t>
  </si>
  <si>
    <t>#</t>
  </si>
  <si>
    <t>Original Reference</t>
  </si>
  <si>
    <t>Updated Reference</t>
  </si>
  <si>
    <t>Tab</t>
  </si>
  <si>
    <t>Line No.</t>
  </si>
  <si>
    <t>2-6</t>
  </si>
  <si>
    <t>7-9</t>
  </si>
  <si>
    <t>10</t>
  </si>
  <si>
    <t>Accumulated Provision for Injuries and Damages  (228.2) End of Year Balance</t>
  </si>
  <si>
    <t>Transmission Towers and Fixtures - Average of BOY/EOY Balances</t>
  </si>
  <si>
    <t>Page 1 of 5</t>
  </si>
  <si>
    <t>Company Property Records, From ATT 11, Col L,L54</t>
  </si>
  <si>
    <t>Company Property Records, From ATT 11, Col M, L54</t>
  </si>
  <si>
    <t>Page 2 of 5</t>
  </si>
  <si>
    <t>[From ATT 1, Pg. 1, Ln. 45]</t>
  </si>
  <si>
    <t>[From Inputs, Pg. 5, Ln. 1]</t>
  </si>
  <si>
    <t>[From Inputs, Pg. 5, Ln. 2]</t>
  </si>
  <si>
    <t>[From Inputs, Pg. 5, Ln. 3]</t>
  </si>
  <si>
    <t>From Inputs Page 2 Line 13</t>
  </si>
  <si>
    <t>Total ADIT (Ln. 18 + Ln. 30 + Ln 43)</t>
  </si>
  <si>
    <r>
      <rPr>
        <b/>
        <sz val="11"/>
        <rFont val="Times New Roman"/>
        <family val="1"/>
      </rPr>
      <t>Note 2a</t>
    </r>
    <r>
      <rPr>
        <sz val="11"/>
        <rFont val="Times New Roman"/>
        <family val="1"/>
      </rPr>
      <t xml:space="preserve"> - Adjustments as needed</t>
    </r>
  </si>
  <si>
    <r>
      <rPr>
        <b/>
        <sz val="11"/>
        <rFont val="Times New Roman"/>
        <family val="1"/>
      </rPr>
      <t>Note 2b</t>
    </r>
    <r>
      <rPr>
        <sz val="11"/>
        <rFont val="Times New Roman"/>
        <family val="1"/>
      </rPr>
      <t xml:space="preserve"> - Adjustments as needed</t>
    </r>
  </si>
  <si>
    <r>
      <rPr>
        <b/>
        <sz val="11"/>
        <rFont val="Times New Roman"/>
        <family val="1"/>
      </rPr>
      <t>Note 1</t>
    </r>
    <r>
      <rPr>
        <sz val="11"/>
        <rFont val="Times New Roman"/>
        <family val="1"/>
      </rPr>
      <t xml:space="preserve"> - Comments / Descriptions of additional information as needed</t>
    </r>
  </si>
  <si>
    <r>
      <rPr>
        <b/>
        <sz val="11"/>
        <rFont val="Times New Roman"/>
        <family val="1"/>
      </rPr>
      <t>Note 3</t>
    </r>
    <r>
      <rPr>
        <sz val="11"/>
        <rFont val="Times New Roman"/>
        <family val="1"/>
      </rPr>
      <t xml:space="preserve"> - Future use</t>
    </r>
  </si>
  <si>
    <r>
      <rPr>
        <b/>
        <sz val="11"/>
        <rFont val="Times New Roman"/>
        <family val="1"/>
      </rPr>
      <t>Note 4</t>
    </r>
    <r>
      <rPr>
        <sz val="11"/>
        <rFont val="Times New Roman"/>
        <family val="1"/>
      </rPr>
      <t xml:space="preserve"> - Future use</t>
    </r>
  </si>
  <si>
    <r>
      <rPr>
        <b/>
        <sz val="11"/>
        <rFont val="Times New Roman"/>
        <family val="1"/>
      </rPr>
      <t>Note 1a</t>
    </r>
    <r>
      <rPr>
        <sz val="11"/>
        <rFont val="Times New Roman"/>
        <family val="1"/>
      </rPr>
      <t xml:space="preserve"> - The Tax Cuts and Jobs Act (Public Law No. 115-97) was enacted on December 22, 2017.  The TCJA reduced the federal corporate income tax rate from 35 percent to 21 percent, effective January 1, 2018.  The composite tax rates used for the remeasurement of ADIT balances are:</t>
    </r>
  </si>
  <si>
    <r>
      <rPr>
        <b/>
        <sz val="11"/>
        <rFont val="Times New Roman"/>
        <family val="1"/>
      </rPr>
      <t>Note 2</t>
    </r>
    <r>
      <rPr>
        <sz val="11"/>
        <rFont val="Times New Roman"/>
        <family val="1"/>
      </rPr>
      <t xml:space="preserve"> - The Tax Cuts and Jobs Act (Public Law No. 115-97) was enacted on December 22, 2017.  The TCJA reduced the federal corporate income tax rate from 35 percent to 21 percent, effective January 1, 2018.</t>
    </r>
  </si>
  <si>
    <r>
      <rPr>
        <b/>
        <sz val="11"/>
        <rFont val="Times New Roman"/>
        <family val="1"/>
      </rPr>
      <t>Note 3</t>
    </r>
    <r>
      <rPr>
        <sz val="11"/>
        <rFont val="Times New Roman"/>
        <family val="1"/>
      </rPr>
      <t xml:space="preserve"> - Open for new tax events impacting excess deferred income taxes and related amortization</t>
    </r>
  </si>
  <si>
    <r>
      <rPr>
        <b/>
        <sz val="11"/>
        <rFont val="Times New Roman"/>
        <family val="1"/>
      </rPr>
      <t>Note 4</t>
    </r>
    <r>
      <rPr>
        <sz val="11"/>
        <rFont val="Times New Roman"/>
        <family val="1"/>
      </rPr>
      <t xml:space="preserve"> - </t>
    </r>
  </si>
  <si>
    <r>
      <rPr>
        <b/>
        <sz val="11"/>
        <rFont val="Times New Roman"/>
        <family val="1"/>
      </rPr>
      <t>Note 3</t>
    </r>
    <r>
      <rPr>
        <sz val="11"/>
        <rFont val="Times New Roman"/>
        <family val="1"/>
      </rPr>
      <t xml:space="preserve"> - The Tax Cuts and Jobs Act (Public Law No. 115-97) was enacted on December 22, 2017.  The TCJA reduced the federal corporate income tax rate from 35 percent to 21 percent, effective January 1, 2018.</t>
    </r>
  </si>
  <si>
    <t>ATTACHMENT 1.5 - DEFICIENT/(EXCESS) ACCUMULATED DEFERRED INCOME TAXES</t>
  </si>
  <si>
    <t>ATTACHMENT 1.5.1b - DEFICIENT/(EXCESS) ACCUMULATED DEFERRED INCOME TAX REMEASUREMENT</t>
  </si>
  <si>
    <t>ATTACHMENT 1.5.2b - DEFICIENT/(EXCESS) ACCUMULATED DEFERRED INCOME TAX REMEASUREMENT</t>
  </si>
  <si>
    <t>Total Deficient/(Excess) ADIT  - Account 182.3</t>
  </si>
  <si>
    <t>Total Deficient/(Excess) ADIT  - Account 254</t>
  </si>
  <si>
    <t>Total Deficient/(Excess) ADIT  - Account 182.3 (Beg of Year)</t>
  </si>
  <si>
    <t>Total Deficient/(Excess) ADIT  - Account 182.3 (End of Year)</t>
  </si>
  <si>
    <t>Total Deficient/(Excess) ADIT  - Account 254 (Beg of Year)</t>
  </si>
  <si>
    <t>Total Deficient/(Excess) ADIT  - Account 254 (End of Year)</t>
  </si>
  <si>
    <t>Elec - Amortized Deficient/(Excess) Deferred Taxes (410.1)</t>
  </si>
  <si>
    <t>Elec - Amortized Deficient/(Excess) Deferred Taxes (411.1)</t>
  </si>
  <si>
    <t>Deficient/(Excess) Deferred Taxes Regulatory Asset (Account 182.3)</t>
  </si>
  <si>
    <t>Deficient/(Excess) Deferred Taxes Regulatory Liability (Account 254)</t>
  </si>
  <si>
    <t>Deficient/(Excess) Deferred Tax Regulatory Assets and Liabilities Allocated to Transmission</t>
  </si>
  <si>
    <t>Rate Base Adjustment Mechanism - Deficient/(Excess) Deferred Income Taxes</t>
  </si>
  <si>
    <t>Income Tax Allowance Adjustment Mechanism - Amortization of Deficient/(Excess) Deferred Income Taxes</t>
  </si>
  <si>
    <t>Amortized Deficient/(Excess) Deferred Taxes (Account 410.1)</t>
  </si>
  <si>
    <t>Amortized Deficient/(Excess) Deferred Taxes (Account 411.1)</t>
  </si>
  <si>
    <t>Deficient/(Excess) Deferred Tax Amortization Allocated to Transmission</t>
  </si>
  <si>
    <t>Deficient/(Excess) ADIT from Current Year Rate Change</t>
  </si>
  <si>
    <t>Deficient/(Excess) ADIT Beginning of Year</t>
  </si>
  <si>
    <t>Deficient/(Excess) ADIT before Amortization</t>
  </si>
  <si>
    <t>Deficient/(Excess) ADIT End of Year</t>
  </si>
  <si>
    <t>Average Deficient/(Excess) ADIT ((Col B + Col F)/2)</t>
  </si>
  <si>
    <t>Total Transmission Deficient/(Excess) ADIT Account 182.3 (Ln. 8 + Ln 17)</t>
  </si>
  <si>
    <t>Total Transmission Deficient/(Excess) ADIT Account 254 (Ln. 30+ Ln 39)</t>
  </si>
  <si>
    <r>
      <rPr>
        <b/>
        <sz val="11"/>
        <rFont val="Times New Roman"/>
        <family val="1"/>
      </rPr>
      <t>Note 1</t>
    </r>
    <r>
      <rPr>
        <sz val="11"/>
        <rFont val="Times New Roman"/>
        <family val="1"/>
      </rPr>
      <t xml:space="preserve"> - One worksheet for each tax rate change event impacting deficient and/or (excess) deferred income taxes and related amortization</t>
    </r>
  </si>
  <si>
    <t>Deficient/(Excess) ADIT from Previous Rate Changes</t>
  </si>
  <si>
    <t>Total Transmission Deficient/(Excess) ADIT Account 182.3 (Ln. 9 + Ln 30)</t>
  </si>
  <si>
    <t>Deficient/(Excess) ADIT from Year Rate Change before Adjustments</t>
  </si>
  <si>
    <t>Deficient/(Excess) ADIT from Year Rate Change after Adjustments</t>
  </si>
  <si>
    <t>Total Deficient/(Excess) Transmission-related Account 182.3</t>
  </si>
  <si>
    <t>Total Deficient/(Excess) ADIT Account 182.3 (Ln.7 + Ln 26)</t>
  </si>
  <si>
    <t>Subtotal Deficient/(Excess) Transmission-related Account 254 - Unprotected</t>
  </si>
  <si>
    <t>Total Deficient/(Excess) Transmission-related Account 254</t>
  </si>
  <si>
    <t>Total Deficient/(Excess) ADIT Account 254 (Ln. 41 + Ln 55)</t>
  </si>
  <si>
    <t>Amortization of Deficient/(Excess) Deferred Taxes (Ln. 9 + Ln 30)</t>
  </si>
  <si>
    <r>
      <rPr>
        <b/>
        <sz val="11"/>
        <rFont val="Times New Roman"/>
        <family val="1"/>
      </rPr>
      <t xml:space="preserve">Note 1 - </t>
    </r>
    <r>
      <rPr>
        <sz val="11"/>
        <rFont val="Times New Roman"/>
        <family val="1"/>
      </rPr>
      <t xml:space="preserve"> Protected means that the normalization rules provide that deficient/(excess) deferred taxes to be flowed-back to customers must use the IRS mandated Average Rate Assumption Method (ARAM) or the Reverse South Georgia Method (RSG)</t>
    </r>
  </si>
  <si>
    <r>
      <rPr>
        <b/>
        <sz val="11"/>
        <rFont val="Times New Roman"/>
        <family val="1"/>
      </rPr>
      <t>Note 2</t>
    </r>
    <r>
      <rPr>
        <sz val="11"/>
        <rFont val="Times New Roman"/>
        <family val="1"/>
      </rPr>
      <t xml:space="preserve"> - Unprotected deficient/(excess) deferred taxes are not subject to the normalization rules.</t>
    </r>
  </si>
  <si>
    <t>Attachment 1.5.2b - REMEASUREMENT OF EDIT</t>
  </si>
  <si>
    <t>To 1.5.2a - TCJA RBAM</t>
  </si>
  <si>
    <t>Conform - [FF1, pg. XXX, ln. XX, col. abc footnote] (From Inputs Pg. X, Line 129)</t>
  </si>
  <si>
    <t>Conform - [FF1, pg. XXX, ln. XX, col. abc footnote] (From Inputs Pg. X, Line 130)</t>
  </si>
  <si>
    <t>Attachment 1.5.2b</t>
  </si>
  <si>
    <t>Attachment 1.5.2a - RATE BASE ADJUSTMENT MECHANISM - TAX CHANGE..</t>
  </si>
  <si>
    <t>Deficient/(Excess)ADIT from Previous Rate Changes</t>
  </si>
  <si>
    <t>Conform - [FF1, pg. XXX, ln. XX, col. abc footnote] (From Inputs, Line 167 &amp; 168)</t>
  </si>
  <si>
    <t>Conform - [FF1, pg. XXX, ln. XX, col. abc] (From Inputs, Line 169 &amp; 170)</t>
  </si>
  <si>
    <t>Attachment 1.5.2a</t>
  </si>
  <si>
    <t>Attachment 1.6.2a - TAX CHANGE INCOME TAX ALLOWANCE ADJUSTMENT MECHANISM</t>
  </si>
  <si>
    <t>Amortization Expense from 1.5.2a-Tax Change RBAM</t>
  </si>
  <si>
    <t>Conform - [FF1, pg. XXX.Xabc footnote, ln. X, col. (abc)] (From Inputs, Line 171)</t>
  </si>
  <si>
    <t>Conform - [FF1, pg. XXX.Xabc footnote, ln. X, col. (abc)] (From Inputs, Line 172)</t>
  </si>
  <si>
    <t>Attachment 1.6.2a</t>
  </si>
  <si>
    <r>
      <t xml:space="preserve">Note 3 - </t>
    </r>
    <r>
      <rPr>
        <sz val="11"/>
        <rFont val="Times New Roman"/>
        <family val="1"/>
      </rPr>
      <t>Future use</t>
    </r>
  </si>
  <si>
    <r>
      <rPr>
        <b/>
        <sz val="11"/>
        <rFont val="Times New Roman"/>
        <family val="1"/>
      </rPr>
      <t>Note 1a</t>
    </r>
    <r>
      <rPr>
        <sz val="11"/>
        <rFont val="Times New Roman"/>
        <family val="1"/>
      </rPr>
      <t xml:space="preserve"> - The New Tax law was enacted July X, 20XX. It changed .........  The composite tax rates used for the remeasurement of ADIT balances are:</t>
    </r>
  </si>
  <si>
    <r>
      <rPr>
        <b/>
        <sz val="10"/>
        <rFont val="Times New Roman"/>
        <family val="1"/>
      </rPr>
      <t xml:space="preserve">Note 1 - </t>
    </r>
    <r>
      <rPr>
        <sz val="10"/>
        <rFont val="Times New Roman"/>
        <family val="1"/>
      </rPr>
      <t xml:space="preserve"> Protected means that the normalization rules provide that deficient/(excess) deferred taxes to be flowed-back to customers must use the IRS mandated Average Rate Assumption Method (ARAM) or the Reverse South Georgia Method (RSG)</t>
    </r>
  </si>
  <si>
    <r>
      <rPr>
        <b/>
        <sz val="10"/>
        <rFont val="Times New Roman"/>
        <family val="1"/>
      </rPr>
      <t>Note 2</t>
    </r>
    <r>
      <rPr>
        <sz val="10"/>
        <rFont val="Times New Roman"/>
        <family val="1"/>
      </rPr>
      <t xml:space="preserve"> - Unprotected deficient/(excess) deferred taxes are not subject to the normalization rules.</t>
    </r>
  </si>
  <si>
    <r>
      <rPr>
        <b/>
        <sz val="10"/>
        <rFont val="Times New Roman"/>
        <family val="1"/>
      </rPr>
      <t>Note 3</t>
    </r>
    <r>
      <rPr>
        <sz val="10"/>
        <rFont val="Times New Roman"/>
        <family val="1"/>
      </rPr>
      <t xml:space="preserve"> - The Tax Change …….</t>
    </r>
  </si>
  <si>
    <t xml:space="preserve">Total Transmission Deficient/(Excess) ADIT Account 254 (Ln 32 + Ln 41) </t>
  </si>
  <si>
    <t>Total Transmission Deficient/(Excess) ADIT Account 254 (Ln. 43 + Ln 59)</t>
  </si>
  <si>
    <t>Amortization of Deficient/(Excess) Deferred Taxes (Ln. 43 + Ln 59)</t>
  </si>
  <si>
    <t>This line includes generation Production Tax Credits, SD Gas, and Nebraska Gas deferred items.</t>
  </si>
  <si>
    <t>Normalized amount of total electric NOL (with or without method)</t>
  </si>
  <si>
    <t>370.3-Distribution AMI Meters Electric</t>
  </si>
  <si>
    <t>371.5-Distribution-LED Yard Lights</t>
  </si>
  <si>
    <t>373.5-Distribution-LED Street Lights</t>
  </si>
  <si>
    <t>390.0-Gen Plt Structures &amp; Impv Dis</t>
  </si>
  <si>
    <t>391.0-Gen Plant-Office Fur</t>
  </si>
  <si>
    <t>392.3-Gen Vehicle-Passenger</t>
  </si>
  <si>
    <t>392.40-Gen Plt Util Trans-Heavy Truck</t>
  </si>
  <si>
    <t>392.50-Gen Plt Util Trans-Light Truck</t>
  </si>
  <si>
    <t>394.0-Gen Plt Util Tools,Shop, &amp; Garage</t>
  </si>
  <si>
    <t>396.0-Gen Plt Util Power Operated Equipment</t>
  </si>
  <si>
    <t>397.0-Gen Plt Util Comm Equip Computer</t>
  </si>
  <si>
    <t>FF1, 350.2.d</t>
  </si>
  <si>
    <t>276-277, Ln. 3, column (k)</t>
  </si>
  <si>
    <t>276-277, Ln. 4, column (k)</t>
  </si>
  <si>
    <t>276-277, Ln. 17, column (k), and Ln. 18, column (k)</t>
  </si>
  <si>
    <t>232 footnote, Ln. 18, column (b)</t>
  </si>
  <si>
    <t>232 footnote, Ln. 63, column (b)</t>
  </si>
  <si>
    <t>232 footnote, Ln. 31 and 32, column (b)</t>
  </si>
  <si>
    <t>232 footnote, Ln. 76 and 77, column (b)</t>
  </si>
  <si>
    <t>232 footnote, Ln. 7, column (c)</t>
  </si>
  <si>
    <t>232 footnote, Ln. 8, column (c)</t>
  </si>
  <si>
    <t>232 footnote, Ln. 9, column (c)</t>
  </si>
  <si>
    <t>232 footnote, Ln. 10, column (c)</t>
  </si>
  <si>
    <t>232 footnote, Ln. 12, column (c)</t>
  </si>
  <si>
    <t>232 footnote, Ln. 13, column (c)</t>
  </si>
  <si>
    <t>232 footnote, Ln. 14, column (c)</t>
  </si>
  <si>
    <t>232 footnote, Ln. 15, column (c)</t>
  </si>
  <si>
    <t>232 footnote, Ln. 17, column (c)</t>
  </si>
  <si>
    <t>232 footnote, Ln. 52, column (c)</t>
  </si>
  <si>
    <t>232 footnote, Ln. 53, column (c)</t>
  </si>
  <si>
    <t>232 footnote, Ln. 54, column (c)</t>
  </si>
  <si>
    <t>232 footnote, Ln. 57, column (c)</t>
  </si>
  <si>
    <t>232 footnote, Ln. 58, column (c)</t>
  </si>
  <si>
    <t>232 footnote, Ln. 59, column (c)</t>
  </si>
  <si>
    <t>232 footnote, Ln. 60, column (c)</t>
  </si>
  <si>
    <t>232 footnote, Ln. 62, column (c)</t>
  </si>
  <si>
    <t>232 footnote, Ln. 31 and 32, column (c)</t>
  </si>
  <si>
    <t>232 footnote, Ln. 76 and 77, column (c)</t>
  </si>
  <si>
    <t>200.21c footnote BOY and 200.21c EOY average</t>
  </si>
  <si>
    <t>219 Ln 25c EOY &amp; 219 footnote SD Ops Ln 25c BOY average</t>
  </si>
  <si>
    <t>320  Ln 96b</t>
  </si>
  <si>
    <t>320  Ln 112b</t>
  </si>
  <si>
    <t>320  Ln 189b</t>
  </si>
  <si>
    <t>320  Ln 191b</t>
  </si>
  <si>
    <t>320  Ln 197b</t>
  </si>
  <si>
    <t>336  Ln 1b</t>
  </si>
  <si>
    <t>336  Ln 1c</t>
  </si>
  <si>
    <t>336  Ln 1d</t>
  </si>
  <si>
    <t>336  Ln 1e</t>
  </si>
  <si>
    <t>336  Ln 7b</t>
  </si>
  <si>
    <t>336  Ln 7c</t>
  </si>
  <si>
    <t>336  Ln 7d</t>
  </si>
  <si>
    <t>354  Ln 21b</t>
  </si>
  <si>
    <t>354  Ln 27b</t>
  </si>
  <si>
    <t>354  Ln 28b</t>
  </si>
  <si>
    <t>300 Ln 19b</t>
  </si>
  <si>
    <t>320  Ln 169b</t>
  </si>
  <si>
    <t>328 1.9m (Acct 456.1). To: ATT-12</t>
  </si>
  <si>
    <t>234, Ln. 2, column (c)</t>
  </si>
  <si>
    <t>234, Ln. 3, column (c)</t>
  </si>
  <si>
    <t>234, Ln. 4, column (c)</t>
  </si>
  <si>
    <t>234, Ln. 5, column (c)</t>
  </si>
  <si>
    <t xml:space="preserve">234, Ln. 18, column (c) </t>
  </si>
  <si>
    <t>234 footnote, Ln. 7, column (b)</t>
  </si>
  <si>
    <t>234 footnote, Ln. 7, column (c)</t>
  </si>
  <si>
    <t>274-275, Ln. 2, column (k)</t>
  </si>
  <si>
    <t>274-275, Ln. 3, column (k)</t>
  </si>
  <si>
    <t>232 footnote, Ln. 55, column (c)</t>
  </si>
  <si>
    <t>278 footnote, Ln. 18, column (b)</t>
  </si>
  <si>
    <t>278 footnote, Ln. 63, column (b)</t>
  </si>
  <si>
    <t>278 footnote, Ln. 31 and 32, column (b)</t>
  </si>
  <si>
    <t>278 footnote, Ln. 76 and 77, column (b)</t>
  </si>
  <si>
    <t>232 footnote, Ln. 33, column (d)</t>
  </si>
  <si>
    <t>232 footnote, Ln. 78, column (d)</t>
  </si>
  <si>
    <t>232 footnote, Ln. 34, column (d)</t>
  </si>
  <si>
    <t>232 footnote, Ln. 79, column (d)</t>
  </si>
  <si>
    <t>232 footnote, Ln. 35, column (d)</t>
  </si>
  <si>
    <t>232 footnote, Ln. 80, column (d)</t>
  </si>
  <si>
    <t xml:space="preserve">Conform - [FF1, pg. 234 footnote, Ln. 23, col. (b) &amp; pg. 234, Ln. 18, col. (c)] (From Inputs, Pg. 3, Line 1 &amp; 2)  </t>
  </si>
  <si>
    <t>Conform - [FF1, pg. 274-275, ln. 5, col. (j) &amp; (k)] (From Inputs Pg. 3, Line 25 &amp; 26)</t>
  </si>
  <si>
    <t>Conform - [FF1, pg. 276-277, ln. 19, col. (h) and (j) &amp; (k)] (From Inputs Pg. 3, Line 31 &amp; 32)</t>
  </si>
  <si>
    <t>Conform - [FF1, pg. 232 footnote, ln. 35 &amp; 80, col. (d)] (From Inputs Pg. 4, Line 101 &amp; 102)</t>
  </si>
  <si>
    <t>Conform - [FF1, pg. 232 footnote, Lns. 33 &amp; 78, col. (d)] (From Inputs Pg. 4, Line 95 &amp; 96)</t>
  </si>
  <si>
    <t>114 footnote, Ln. 4, column (d)</t>
  </si>
  <si>
    <t>114 footnote, Ln. 4, column (h) and (j)</t>
  </si>
  <si>
    <t>Conform - [FF1, pg. 114 footnote, ln. 4, col. (d)] (From Inputs Pg. 4, Line 107)</t>
  </si>
  <si>
    <t>Conform - [FF1, pg. 114 footnote, ln. 4, col. (h) &amp; (j)] (From Inputs Pg. 4, Line 108)</t>
  </si>
  <si>
    <t>Conform - [FF1, pg. 114 footnote, ln. 4, col. (d)] (From Inputs Pg. 4, Line 109)</t>
  </si>
  <si>
    <t>Conform - [FF1, pg. 114 footnote, ln. 4, col. (h) &amp; (j)] (From Inputs Pg. 4, Line 110)</t>
  </si>
  <si>
    <t xml:space="preserve">278 footnote, Ln. 76 and 77, column (d)   </t>
  </si>
  <si>
    <t xml:space="preserve">278 footnote, Ln. 31 and 32, column (d)   </t>
  </si>
  <si>
    <t xml:space="preserve">278 footnote, Ln. 18, column (g) </t>
  </si>
  <si>
    <t>278 footnote, Ln. 63, column (g)</t>
  </si>
  <si>
    <t xml:space="preserve">278 footnote, Ln. 7, column (d)  </t>
  </si>
  <si>
    <t xml:space="preserve">278 footnote, Ln. 52, column (d) </t>
  </si>
  <si>
    <t xml:space="preserve">278 footnote, Ln. 34, column (e) and (g) </t>
  </si>
  <si>
    <t xml:space="preserve">278 footnote, Ln. 79, column (e) and (g) </t>
  </si>
  <si>
    <t xml:space="preserve">278 footnote, Ln. 35, column (e) and (g) </t>
  </si>
  <si>
    <t xml:space="preserve">278 footnote, Ln. 80, column (e) and (g) </t>
  </si>
  <si>
    <t>278 footnote, Ln. 76 and 77, column (c) and (g)</t>
  </si>
  <si>
    <t>278 footnote, Ln. 31 and 32, column (c) and (g)</t>
  </si>
  <si>
    <t xml:space="preserve">Conform - [FF1, pg. 278 footnote, Lns. 33 &amp; 78, col. (e) &amp; (g)] (From Inputs Pg. 4, Line 97 &amp; 98) </t>
  </si>
  <si>
    <t>Conform - [FF1, pg. 278 footnote, Lns. 35 &amp; 80, column (e) &amp; (g)] (From Inputs Pg. 4, Line 105 &amp; 106)</t>
  </si>
  <si>
    <t xml:space="preserve">278 footnote, Ln. 33, column (e) and (g) </t>
  </si>
  <si>
    <t xml:space="preserve">278 footnote, Ln. 78, column (e) and (g) </t>
  </si>
  <si>
    <t>219 Ln28c EOY &amp; 219 footnote SD Ops Ln 27c BOY average</t>
  </si>
  <si>
    <t>336  Ln 10b</t>
  </si>
  <si>
    <t>336  Ln 10c</t>
  </si>
  <si>
    <t>336  Ln 10d</t>
  </si>
  <si>
    <t>112.61d</t>
  </si>
  <si>
    <t>Average BOY/EOY Net Book Value of Upgrade [Company Records from Mgr of Property Acctg From ATT 11]</t>
  </si>
  <si>
    <t>Depreciation Expense for Upgrade Project</t>
  </si>
  <si>
    <t>Total Net Book Value of General and Intangible Functionalized to Transmission [From Appendix A, Line 25 - Line 33]</t>
  </si>
  <si>
    <t>Portion of General &amp; Intagible Rate Base Attributable to Upgrade [Line 13 x Line 10]</t>
  </si>
  <si>
    <t>34.</t>
  </si>
  <si>
    <t>35.</t>
  </si>
  <si>
    <t>38.</t>
  </si>
  <si>
    <t>39.</t>
  </si>
  <si>
    <t>42.</t>
  </si>
  <si>
    <t>44.</t>
  </si>
  <si>
    <t>49.</t>
  </si>
  <si>
    <r>
      <t xml:space="preserve">Other Electric Revenues  - Transmission for Others (Schedule 11 </t>
    </r>
    <r>
      <rPr>
        <b/>
        <sz val="12"/>
        <rFont val="Arial"/>
        <family val="2"/>
      </rPr>
      <t>Point to Point</t>
    </r>
    <r>
      <rPr>
        <sz val="12"/>
        <rFont val="Arial"/>
        <family val="2"/>
      </rPr>
      <t>)</t>
    </r>
  </si>
  <si>
    <t xml:space="preserve">ROE Incentive Adder to ROR [Line 3 X Line 47, Col. B]: </t>
  </si>
  <si>
    <t>33.</t>
  </si>
  <si>
    <t>36.</t>
  </si>
  <si>
    <t>37.</t>
  </si>
  <si>
    <t>40.</t>
  </si>
  <si>
    <t>41.</t>
  </si>
  <si>
    <t>43.</t>
  </si>
  <si>
    <t>45.</t>
  </si>
  <si>
    <t>46.</t>
  </si>
  <si>
    <t>47.</t>
  </si>
  <si>
    <t>48.</t>
  </si>
  <si>
    <t>50.</t>
  </si>
  <si>
    <t>Adjustments to Upgrade Rate Base w/o Incentive</t>
  </si>
  <si>
    <t>Total General and Intangible Depreciation Expense Functionalized to Transmission Attributable to Upgrade</t>
  </si>
  <si>
    <t>General and Intangible Depreciation Expense Functionalized to Transmission Attributable to Upgrade [Line 24 x Line 10]</t>
  </si>
  <si>
    <t>Total General and Intangible Functionalized to Transmission [From Appendix A, Ln. 72]</t>
  </si>
  <si>
    <t>Annual Depreciation [Company Records  From ATT 11]</t>
  </si>
  <si>
    <t>Taxes Other than Income Taxes Attributable to Upgrade [Line 10 x Line 36]</t>
  </si>
  <si>
    <t>Income Taxes Attributable to Upgrade [Line 10 x Line 40]</t>
  </si>
  <si>
    <t>Upgrade ATRR w/o Incentive [Lines 21 + 26 + 30 +33 +37 +41]</t>
  </si>
  <si>
    <t>351.32 Ele Trans Commn. Other</t>
  </si>
  <si>
    <t>Company Property Records, From ATT 11, Col L, L62</t>
  </si>
  <si>
    <t>Company Property Records, From ATT 11, Col O, L54</t>
  </si>
  <si>
    <t>Portion of Adjustments to Rate Base Attributable to Upgrade [Line 17 x Line 10]</t>
  </si>
  <si>
    <t>Upgrade adjusted BOY/EOY Net Book Value [Line 6 + Line 14 + Line 18]</t>
  </si>
  <si>
    <t>Investment Return w/o Incentive on Upgrade [Line 19 x Line 20]</t>
  </si>
  <si>
    <t>Transmission O&amp;M Attributable to Upgrade [Line 10 x Line 29]</t>
  </si>
  <si>
    <t>Percentage Point increase in ROR for each 1.00% of "Incentive ROE" [(0.0100/Line 45) x Line 46 x 100]</t>
  </si>
  <si>
    <t>Incentive Investment Return on Upgrade [Line 4 x Line 19]</t>
  </si>
  <si>
    <t>Upgrade ATRR w Incentives [Line 43 + Line 48]</t>
  </si>
  <si>
    <t xml:space="preserve">FERC ORDER 898 </t>
  </si>
  <si>
    <t>351.11</t>
  </si>
  <si>
    <t>351.11 Ele 10 yr Trans Hardware</t>
  </si>
  <si>
    <t>351.15</t>
  </si>
  <si>
    <t>351.15 Ele 5 yr Trans Hardware</t>
  </si>
  <si>
    <t>351.21</t>
  </si>
  <si>
    <t>351.21 Ele 10 Yr Trans Software</t>
  </si>
  <si>
    <t>351.25</t>
  </si>
  <si>
    <t>351.25 Ele 5 Yr Trans Software</t>
  </si>
  <si>
    <t>351.32</t>
  </si>
  <si>
    <t>363.11</t>
  </si>
  <si>
    <t>363.11 Ele 10 yr Dist Hardware</t>
  </si>
  <si>
    <t>363.15</t>
  </si>
  <si>
    <t>363.15 Ele 5 yr Dist Hardware</t>
  </si>
  <si>
    <t>363.32</t>
  </si>
  <si>
    <t>363.32 Ele Distr Commun. Other</t>
  </si>
  <si>
    <t>397.11</t>
  </si>
  <si>
    <t>397.11 Ele 10 yr Hardware Gen P</t>
  </si>
  <si>
    <t>397.15</t>
  </si>
  <si>
    <t>397.15 Ele 5 YR Gen Hardware</t>
  </si>
  <si>
    <t>397.21</t>
  </si>
  <si>
    <t>397.21 Ele 10 Yr Software Gen P</t>
  </si>
  <si>
    <t>397.25</t>
  </si>
  <si>
    <t>397.25 Ele 5 Yr Software Gen Pl</t>
  </si>
  <si>
    <t>397.33</t>
  </si>
  <si>
    <t>397.33 Ele General Comm. Office</t>
  </si>
  <si>
    <t>341.1-Other Production-BGGS</t>
  </si>
  <si>
    <t>342.1-Other Production-BGGS</t>
  </si>
  <si>
    <t>343.1-Other Production-BGGS</t>
  </si>
  <si>
    <t>344.1-Other Production-BGGS</t>
  </si>
  <si>
    <t>345.1-Other Production-BGGS</t>
  </si>
  <si>
    <t>346.1-Other Production-BGGS</t>
  </si>
  <si>
    <t>341.1-Other Production-Wind</t>
  </si>
  <si>
    <t>344.1-Other Production-Wind</t>
  </si>
  <si>
    <t>345.1-Other Production-Wind</t>
  </si>
  <si>
    <t>346.1-Other Production-Wind</t>
  </si>
  <si>
    <t>Average Original Cost
 20xx-20xx</t>
  </si>
  <si>
    <t>Average Depreciation Reserve
 20xx-20xx</t>
  </si>
  <si>
    <t>Average Net Book Value
 20xx-20xx</t>
  </si>
  <si>
    <t>(For Rate Year Beginning April 1, 2026, Based on December 31, 2025 Data)</t>
  </si>
  <si>
    <t>2025 FERC Form 1</t>
  </si>
  <si>
    <t xml:space="preserve">112.18c </t>
  </si>
  <si>
    <t xml:space="preserve">112.21d </t>
  </si>
  <si>
    <t>204 Ln 5b &amp; Ln 5g average</t>
  </si>
  <si>
    <t>204 Ln 104b &amp; Ln 104g average</t>
  </si>
  <si>
    <t>204 Ln 58b &amp; Ln58g average</t>
  </si>
  <si>
    <t>204 Ln 99b and 99g average</t>
  </si>
  <si>
    <t>262 footnote</t>
  </si>
  <si>
    <t>204 Ln 51b and Ln 51g average</t>
  </si>
  <si>
    <t>204 Ln 52b and Ln 52g average</t>
  </si>
  <si>
    <t>204 Ln 64b and Ln 64g average</t>
  </si>
  <si>
    <t>3ABABN0002 - TL-0002 Aberdeen Siebrecht Sub 30C to Gr : N040 Total</t>
  </si>
  <si>
    <t>3ABABN0030 - TL-0030 Aberdeen Siebrecht Sub 30C to Hu  : N040 Total</t>
  </si>
  <si>
    <t xml:space="preserve"> 3ABABN0033 - TL-0033 Groton Sub to Groton WAPA Sub : N040  Total</t>
  </si>
  <si>
    <t xml:space="preserve"> 3ABABN0040 - TL-0040 Aberdeen Siebrecht Sub 30C to El : N040  Total</t>
  </si>
  <si>
    <t xml:space="preserve"> 3ABNOD0040 - TL-0040 ABN Siebrecht Sub 30C ND portion : N040  Total</t>
  </si>
  <si>
    <t xml:space="preserve"> 3HUHUR0031 - TL-0031 Huron West Park Sub 30D to Mitch  : N060  Total</t>
  </si>
  <si>
    <t xml:space="preserve"> 3HUHUR0037 - TL-0037 Huron West Park Sub 30D to Broad : N060  Total</t>
  </si>
  <si>
    <t xml:space="preserve"> 3MTMIT0041 - TL-0041 Mitchell Sub 31A to McCook Cty L : N080  Total</t>
  </si>
  <si>
    <t xml:space="preserve"> 3MTMIT0042 - TL-0042 Mitchell Sub 31A to Tripp Jct. S : N080  Total</t>
  </si>
  <si>
    <t xml:space="preserve"> 3MTMIT0045  TL-0045 Mitchell Sub 31A to Letcher Jct. Sub (WAPA owned): N080  Total</t>
  </si>
  <si>
    <t xml:space="preserve"> 3MTTRP0043 - TL-0043 Tripp Jct. Sub 42A to Yankton jc : N080  Total</t>
  </si>
  <si>
    <t xml:space="preserve"> 3HURED0006 - TL-0006 Redfield Sub 30A to Clark Jct. S : N060  Total</t>
  </si>
  <si>
    <t xml:space="preserve"> 3HUHUR0035 - TL-0035 Huron West Park Sub 30D to Highm : N060  Total</t>
  </si>
  <si>
    <t xml:space="preserve"> 3ABABN0003 - TL-0003 Groton Sub 3C to Webster Sub 3B : N040  Total</t>
  </si>
  <si>
    <t xml:space="preserve"> 3ABABN002A - TS-002A WAPA Groton : N240  Total</t>
  </si>
  <si>
    <t xml:space="preserve"> 3ABABN002B - TS-002B Groton,Basin oper. : N040  Total</t>
  </si>
  <si>
    <t xml:space="preserve"> 3ABNOD040A - TS-040A-Ellendale, ND Sub : N040  Total</t>
  </si>
  <si>
    <t xml:space="preserve"> 3ABABN003C - TS-003C Groton City : N040  Total</t>
  </si>
  <si>
    <t xml:space="preserve"> 3ABABN030C - TS-030C Aberdeen Siebrecht : N040  Total</t>
  </si>
  <si>
    <t xml:space="preserve"> 3HUCLK006D - TS-006D Watertown Mun. Utilities : N060  Total</t>
  </si>
  <si>
    <t xml:space="preserve"> 3HUHMR035D - TS-035D Titan 1 Substation 69KV : N060  Total</t>
  </si>
  <si>
    <t xml:space="preserve"> 3HUHMR035E - TS-035E Highmore East River Tie : N060  Total</t>
  </si>
  <si>
    <t xml:space="preserve"> 3HUHUR030B - TS-030B WAPA Broadland : N240  Total</t>
  </si>
  <si>
    <t xml:space="preserve"> 3HUHUR030D - TS-030D Huron West Park : N060  Total</t>
  </si>
  <si>
    <t xml:space="preserve"> 3HURED030A - TS-030A Redfield : N060  Total</t>
  </si>
  <si>
    <t xml:space="preserve"> 3MTMIT031A - TS-031A Mitchell : N080  Total</t>
  </si>
  <si>
    <t xml:space="preserve"> 3MTMIT031B - TS-031B Mitchell Northwest : N080  Total</t>
  </si>
  <si>
    <t xml:space="preserve"> 3MTTRP042A - TS-042A Tripp Jct. : N080  Total</t>
  </si>
  <si>
    <t xml:space="preserve"> 3YKYNK043C - TS-Napa Jct. Switchyard. : N100  Total</t>
  </si>
  <si>
    <t xml:space="preserve"> 3YKYNK043A - TS-043A Yankton Jct. : N100  Total</t>
  </si>
  <si>
    <t xml:space="preserve"> 3MTCHM0019 - TL-0019 Chamberlain to Mt. Vernon City S : N080  Total</t>
  </si>
  <si>
    <t xml:space="preserve"> 3MTARM019E - TS-019E Stickney Jct. : N080  Total</t>
  </si>
  <si>
    <t xml:space="preserve"> 3MTCHM019B - TS-019B Chamberlain : N080  Total</t>
  </si>
  <si>
    <t xml:space="preserve"> 3MTMIT019D - TS-019D WAPA Mt. Vernon : N240  Total</t>
  </si>
  <si>
    <t xml:space="preserve"> 3HURED030E - TS-030E Dakota Access Substation : N060  Total</t>
  </si>
  <si>
    <t>3ABABN040C - TS-040C "A" Tap Site : N040  Total</t>
  </si>
  <si>
    <t>3ABABN040C - TS-040C "A" Tap Site : N040 Schedule 11 Total</t>
  </si>
  <si>
    <t>3MTCHM019H - TS-019H Chamberlain Jct. Substation : N080 Total</t>
  </si>
  <si>
    <t>328 1.5 and 328 1.6m (Acct 456.1). To: ATT-3, Line 4. Also see ATT 3, Notes 1 &amp; 4</t>
  </si>
  <si>
    <t>234 , Ln. 1, column (b)</t>
  </si>
  <si>
    <t>234 , Ln. 1, column (c)</t>
  </si>
  <si>
    <t>234 , Ln. 2, column (b)</t>
  </si>
  <si>
    <t>234 , Ln. 3, column (b)</t>
  </si>
  <si>
    <t>234 , Ln. 4, column (b)</t>
  </si>
  <si>
    <t>234 , Ln. 5, column (b)</t>
  </si>
  <si>
    <t xml:space="preserve">234 , Ln. 18, column (b) </t>
  </si>
  <si>
    <t xml:space="preserve">234 Ln. 16 and 17.1, column (c) </t>
  </si>
  <si>
    <t xml:space="preserve">234 Ln. 16 and  17.1, column (b) </t>
  </si>
  <si>
    <t>274-275, Ln. 2, column (b)</t>
  </si>
  <si>
    <t>274-275, Ln. 3, column (b)</t>
  </si>
  <si>
    <t>274-275, Ln. 11, column (b)</t>
  </si>
  <si>
    <t>274-275, Ln. 11, column (k)</t>
  </si>
  <si>
    <t>276-277, Ln. 21, column (b)</t>
  </si>
  <si>
    <t>276-277, Ln. 21, column (k)</t>
  </si>
  <si>
    <t>276-277, Ln. 3, column (b)</t>
  </si>
  <si>
    <t>276-277, Ln. 4, column (b)</t>
  </si>
  <si>
    <t>276-277, Ln. 17, column (b), and Ln. 18, column(b)</t>
  </si>
  <si>
    <r>
      <t>2025 Rates (%)</t>
    </r>
    <r>
      <rPr>
        <u/>
        <vertAlign val="superscript"/>
        <sz val="12"/>
        <rFont val="Arial"/>
        <family val="2"/>
      </rPr>
      <t>1</t>
    </r>
  </si>
  <si>
    <r>
      <rPr>
        <b/>
        <sz val="11"/>
        <rFont val="Times New Roman"/>
        <family val="1"/>
      </rPr>
      <t>Note 2a</t>
    </r>
    <r>
      <rPr>
        <sz val="11"/>
        <rFont val="Times New Roman"/>
        <family val="1"/>
      </rPr>
      <t xml:space="preserve"> - Adjustment as needed</t>
    </r>
  </si>
  <si>
    <t>[From Inputs, Pg. 2, Line. 12]</t>
  </si>
  <si>
    <t>Aberdeen "A" Tap Site</t>
  </si>
  <si>
    <t>Twelve Months Ended December 31, 2025</t>
  </si>
  <si>
    <t>110.57c</t>
  </si>
  <si>
    <t>110.57d</t>
  </si>
  <si>
    <t>112.15d</t>
  </si>
  <si>
    <t>112.16d</t>
  </si>
  <si>
    <t>112.23d</t>
  </si>
  <si>
    <t>112.28c</t>
  </si>
  <si>
    <t>219 Ln 29 c &amp; 219 Line 1c</t>
  </si>
  <si>
    <t>110.69d</t>
  </si>
  <si>
    <t>110.81d</t>
  </si>
  <si>
    <t>320 Ln 197b, less 320 footnote to remove merger transaction-related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</si>
</sst>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quot;$&quot;* #,##0_);_(&quot;$&quot;* \(#,##0\);_(&quot;$&quot;* &quot;-&quot;??_);_(@_)"/>
    <numFmt numFmtId="167" formatCode="0.000%"/>
    <numFmt numFmtId="168" formatCode="0.00000"/>
    <numFmt numFmtId="169" formatCode="&quot;$&quot;#,##0.00"/>
    <numFmt numFmtId="170" formatCode="0.0%"/>
    <numFmt numFmtId="171" formatCode="0.0000%"/>
    <numFmt numFmtId="172" formatCode="0.00000%"/>
    <numFmt numFmtId="173" formatCode="&quot;$&quot;#,##0"/>
    <numFmt numFmtId="174" formatCode="0.0"/>
    <numFmt numFmtId="175" formatCode="0.000"/>
    <numFmt numFmtId="176" formatCode="_(* #,##0.000_);_(* \(#,##0.000\);_(* &quot;-&quot;??_);_(@_)"/>
    <numFmt numFmtId="177" formatCode="_(* #,##0.0000_);_(* \(#,##0.0000\);_(* &quot;-&quot;??_);_(@_)"/>
  </numFmts>
  <fonts count="10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color indexed="10"/>
      <name val="Arial"/>
      <family val="2"/>
    </font>
    <font>
      <sz val="12"/>
      <name val="Arial"/>
      <family val="2"/>
    </font>
    <font>
      <b/>
      <sz val="10"/>
      <color indexed="10"/>
      <name val="Arial"/>
      <family val="2"/>
    </font>
    <font>
      <sz val="10"/>
      <name val="Arial"/>
      <family val="2"/>
    </font>
    <font>
      <sz val="12"/>
      <name val="Arial MT"/>
    </font>
    <font>
      <b/>
      <sz val="14"/>
      <name val="Arial"/>
      <family val="2"/>
    </font>
    <font>
      <sz val="12"/>
      <name val="Helv"/>
    </font>
    <font>
      <b/>
      <sz val="12"/>
      <name val="Helv"/>
    </font>
    <font>
      <sz val="14"/>
      <name val="Arial"/>
      <family val="2"/>
    </font>
    <font>
      <sz val="12"/>
      <name val="Arial Narrow"/>
      <family val="2"/>
    </font>
    <font>
      <b/>
      <sz val="18"/>
      <name val="Arial"/>
      <family val="2"/>
    </font>
    <font>
      <sz val="10"/>
      <name val="Arial Narrow"/>
      <family val="2"/>
    </font>
    <font>
      <b/>
      <sz val="10"/>
      <color indexed="14"/>
      <name val="Arial"/>
      <family val="2"/>
    </font>
    <font>
      <b/>
      <sz val="16"/>
      <color indexed="10"/>
      <name val="Arial"/>
      <family val="2"/>
    </font>
    <font>
      <sz val="9"/>
      <name val="Arial"/>
      <family val="2"/>
    </font>
    <font>
      <sz val="10"/>
      <color indexed="10"/>
      <name val="Arial"/>
      <family val="2"/>
    </font>
    <font>
      <b/>
      <u/>
      <sz val="10"/>
      <name val="Arial"/>
      <family val="2"/>
    </font>
    <font>
      <sz val="10"/>
      <name val="Arial"/>
      <family val="2"/>
    </font>
    <font>
      <b/>
      <u/>
      <sz val="12"/>
      <name val="Arial"/>
      <family val="2"/>
    </font>
    <font>
      <b/>
      <sz val="16"/>
      <name val="Arial"/>
      <family val="2"/>
    </font>
    <font>
      <sz val="10"/>
      <name val="MS Sans Serif"/>
      <family val="2"/>
    </font>
    <font>
      <b/>
      <sz val="10"/>
      <name val="MS Sans Serif"/>
      <family val="2"/>
    </font>
    <font>
      <sz val="16"/>
      <name val="Arial"/>
      <family val="2"/>
    </font>
    <font>
      <sz val="16"/>
      <name val="Helv"/>
    </font>
    <font>
      <b/>
      <sz val="16"/>
      <name val="Arial Narrow"/>
      <family val="2"/>
    </font>
    <font>
      <sz val="16"/>
      <name val="Arial Narrow"/>
      <family val="2"/>
    </font>
    <font>
      <u/>
      <sz val="10"/>
      <name val="Arial"/>
      <family val="2"/>
    </font>
    <font>
      <sz val="8"/>
      <name val="Arial"/>
      <family val="2"/>
    </font>
    <font>
      <sz val="10"/>
      <color indexed="10"/>
      <name val="Arial"/>
      <family val="2"/>
    </font>
    <font>
      <sz val="15"/>
      <name val="Times New Roman"/>
      <family val="1"/>
    </font>
    <font>
      <b/>
      <sz val="16"/>
      <name val="Times New Roman"/>
      <family val="1"/>
    </font>
    <font>
      <sz val="16"/>
      <name val="Times New Roman"/>
      <family val="1"/>
    </font>
    <font>
      <vertAlign val="superscript"/>
      <sz val="10"/>
      <name val="Arial"/>
      <family val="2"/>
    </font>
    <font>
      <b/>
      <sz val="14"/>
      <name val="Times New Roman"/>
      <family val="1"/>
    </font>
    <font>
      <sz val="14"/>
      <name val="Times New Roman"/>
      <family val="1"/>
    </font>
    <font>
      <sz val="8"/>
      <name val="Arial"/>
      <family val="2"/>
    </font>
    <font>
      <sz val="9"/>
      <name val="Arial"/>
      <family val="2"/>
    </font>
    <font>
      <sz val="11"/>
      <name val="Times New Roman"/>
      <family val="1"/>
    </font>
    <font>
      <b/>
      <i/>
      <sz val="11"/>
      <name val="Times New Roman"/>
      <family val="1"/>
    </font>
    <font>
      <b/>
      <sz val="11"/>
      <name val="Times New Roman"/>
      <family val="1"/>
    </font>
    <font>
      <u/>
      <sz val="11"/>
      <name val="Times New Roman"/>
      <family val="1"/>
    </font>
    <font>
      <vertAlign val="superscript"/>
      <sz val="11"/>
      <name val="Times New Roman"/>
      <family val="1"/>
    </font>
    <font>
      <sz val="12"/>
      <name val="Arial"/>
      <family val="2"/>
    </font>
    <font>
      <b/>
      <sz val="12"/>
      <name val="Times New Roman"/>
      <family val="1"/>
    </font>
    <font>
      <b/>
      <sz val="12"/>
      <name val="Arial"/>
      <family val="2"/>
    </font>
    <font>
      <b/>
      <sz val="10"/>
      <name val="Arial"/>
      <family val="2"/>
    </font>
    <font>
      <u/>
      <sz val="10"/>
      <name val="Arial"/>
      <family val="2"/>
    </font>
    <font>
      <sz val="10"/>
      <name val="Arial"/>
      <family val="2"/>
    </font>
    <font>
      <b/>
      <u/>
      <sz val="12"/>
      <name val="Times New Roman"/>
      <family val="1"/>
    </font>
    <font>
      <b/>
      <i/>
      <sz val="12"/>
      <name val="Arial"/>
      <family val="2"/>
    </font>
    <font>
      <b/>
      <sz val="16"/>
      <name val="Helv"/>
    </font>
    <font>
      <sz val="11"/>
      <name val="Calibri"/>
      <family val="2"/>
    </font>
    <font>
      <b/>
      <i/>
      <sz val="10"/>
      <name val="Arial"/>
      <family val="2"/>
    </font>
    <font>
      <b/>
      <i/>
      <u/>
      <sz val="10"/>
      <name val="Arial"/>
      <family val="2"/>
    </font>
    <font>
      <b/>
      <i/>
      <u/>
      <sz val="12"/>
      <name val="Arial"/>
      <family val="2"/>
    </font>
    <font>
      <sz val="10"/>
      <name val="Arial"/>
      <family val="2"/>
    </font>
    <font>
      <sz val="11"/>
      <name val="Arial"/>
      <family val="2"/>
    </font>
    <font>
      <sz val="12"/>
      <name val="Times New Roman"/>
      <family val="1"/>
    </font>
    <font>
      <u/>
      <sz val="12"/>
      <name val="Arial"/>
      <family val="2"/>
    </font>
    <font>
      <vertAlign val="superscript"/>
      <sz val="11"/>
      <name val="Arial"/>
      <family val="2"/>
    </font>
    <font>
      <sz val="11"/>
      <name val="Segoe UI"/>
      <family val="2"/>
    </font>
    <font>
      <sz val="10"/>
      <name val="Arial"/>
      <family val="2"/>
    </font>
    <font>
      <sz val="10"/>
      <name val="Arial"/>
      <family val="2"/>
    </font>
    <font>
      <b/>
      <sz val="9"/>
      <name val="Arial"/>
      <family val="2"/>
    </font>
    <font>
      <u/>
      <sz val="12"/>
      <name val="Times New Roman"/>
      <family val="1"/>
    </font>
    <font>
      <u/>
      <vertAlign val="superscript"/>
      <sz val="12"/>
      <name val="Arial"/>
      <family val="2"/>
    </font>
    <font>
      <sz val="10"/>
      <name val="Arial MT"/>
    </font>
    <font>
      <sz val="10"/>
      <color indexed="8"/>
      <name val="Arial"/>
      <family val="2"/>
    </font>
    <font>
      <b/>
      <sz val="10"/>
      <color indexed="8"/>
      <name val="Arial"/>
      <family val="2"/>
    </font>
    <font>
      <sz val="11"/>
      <color rgb="FF1F497D"/>
      <name val="Calibri"/>
      <family val="2"/>
    </font>
    <font>
      <sz val="9"/>
      <color theme="1"/>
      <name val="Calibri"/>
      <family val="2"/>
      <scheme val="minor"/>
    </font>
    <font>
      <b/>
      <sz val="9"/>
      <color theme="1"/>
      <name val="Calibri"/>
      <family val="2"/>
      <scheme val="minor"/>
    </font>
    <font>
      <sz val="11"/>
      <name val="Calibri"/>
      <family val="2"/>
      <scheme val="minor"/>
    </font>
    <font>
      <i/>
      <sz val="11"/>
      <name val="Calibri"/>
      <family val="2"/>
      <scheme val="minor"/>
    </font>
    <font>
      <sz val="11"/>
      <color rgb="FF7030A0"/>
      <name val="Calibri"/>
      <family val="2"/>
      <scheme val="minor"/>
    </font>
    <font>
      <b/>
      <sz val="9"/>
      <name val="Calibri"/>
      <family val="2"/>
      <scheme val="minor"/>
    </font>
    <font>
      <b/>
      <sz val="11"/>
      <name val="Calibri"/>
      <family val="2"/>
      <scheme val="minor"/>
    </font>
    <font>
      <strike/>
      <u/>
      <sz val="12"/>
      <color rgb="FFFF0000"/>
      <name val="Arial"/>
      <family val="2"/>
    </font>
    <font>
      <sz val="11"/>
      <color rgb="FFFF0000"/>
      <name val="Calibri"/>
      <family val="2"/>
      <scheme val="minor"/>
    </font>
    <font>
      <b/>
      <sz val="11"/>
      <color theme="1"/>
      <name val="Calibri"/>
      <family val="2"/>
      <scheme val="minor"/>
    </font>
    <font>
      <sz val="12"/>
      <color rgb="FFFF0000"/>
      <name val="Arial"/>
      <family val="2"/>
    </font>
    <font>
      <strike/>
      <sz val="12"/>
      <name val="Arial"/>
      <family val="2"/>
    </font>
    <font>
      <b/>
      <strike/>
      <sz val="12"/>
      <name val="Arial"/>
      <family val="2"/>
    </font>
    <font>
      <sz val="12"/>
      <color theme="1"/>
      <name val="Arial"/>
      <family val="2"/>
    </font>
    <font>
      <b/>
      <sz val="10"/>
      <color rgb="FFFF0000"/>
      <name val="Arial"/>
      <family val="2"/>
    </font>
    <font>
      <b/>
      <sz val="12"/>
      <color rgb="FFFF0000"/>
      <name val="Arial"/>
      <family val="2"/>
    </font>
    <font>
      <b/>
      <i/>
      <sz val="10"/>
      <name val="Times New Roman"/>
      <family val="1"/>
    </font>
    <font>
      <sz val="10"/>
      <color rgb="FFFF3300"/>
      <name val="Arial"/>
      <family val="2"/>
    </font>
    <font>
      <b/>
      <sz val="10"/>
      <name val="Times New Roman"/>
      <family val="1"/>
    </font>
    <font>
      <b/>
      <sz val="11"/>
      <name val="Arial"/>
      <family val="2"/>
    </font>
    <font>
      <sz val="10"/>
      <name val="Times New Roman"/>
      <family val="1"/>
    </font>
    <font>
      <strike/>
      <sz val="11"/>
      <name val="Calibri"/>
      <family val="2"/>
      <scheme val="minor"/>
    </font>
    <font>
      <b/>
      <strike/>
      <sz val="12"/>
      <color rgb="FFFF0000"/>
      <name val="Arial"/>
      <family val="2"/>
    </font>
    <font>
      <strike/>
      <sz val="12"/>
      <color rgb="FFFF0000"/>
      <name val="Arial"/>
      <family val="2"/>
    </font>
    <font>
      <sz val="11"/>
      <color indexed="8"/>
      <name val="Calibri"/>
      <family val="2"/>
      <scheme val="minor"/>
    </font>
  </fonts>
  <fills count="11">
    <fill>
      <patternFill patternType="none"/>
    </fill>
    <fill>
      <patternFill patternType="gray125"/>
    </fill>
    <fill>
      <patternFill patternType="mediumGray">
        <fgColor indexed="22"/>
      </patternFill>
    </fill>
    <fill>
      <patternFill patternType="solid">
        <fgColor indexed="40"/>
        <bgColor indexed="64"/>
      </patternFill>
    </fill>
    <fill>
      <patternFill patternType="solid">
        <fgColor indexed="1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rgb="FFC4D79B"/>
        <bgColor rgb="FF000000"/>
      </patternFill>
    </fill>
    <fill>
      <patternFill patternType="solid">
        <fgColor rgb="FFFFFF00"/>
        <bgColor indexed="64"/>
      </patternFill>
    </fill>
  </fills>
  <borders count="93">
    <border>
      <left/>
      <right/>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ck">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medium">
        <color indexed="64"/>
      </right>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style="thin">
        <color indexed="64"/>
      </left>
      <right style="thin">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n">
        <color indexed="64"/>
      </bottom>
      <diagonal/>
    </border>
    <border>
      <left style="thin">
        <color indexed="64"/>
      </left>
      <right style="thick">
        <color indexed="64"/>
      </right>
      <top style="thick">
        <color indexed="64"/>
      </top>
      <bottom/>
      <diagonal/>
    </border>
    <border>
      <left/>
      <right/>
      <top style="thin">
        <color theme="4"/>
      </top>
      <bottom style="double">
        <color theme="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1">
    <xf numFmtId="0" fontId="0" fillId="0" borderId="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1"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39" fontId="10" fillId="0" borderId="0"/>
    <xf numFmtId="0" fontId="3" fillId="0" borderId="0"/>
    <xf numFmtId="0" fontId="7" fillId="0" borderId="0"/>
    <xf numFmtId="169" fontId="10" fillId="0" borderId="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0" fontId="27" fillId="0" borderId="1">
      <alignment horizontal="center"/>
    </xf>
    <xf numFmtId="3" fontId="26" fillId="0" borderId="0" applyFont="0" applyFill="0" applyBorder="0" applyAlignment="0" applyProtection="0"/>
    <xf numFmtId="0" fontId="26" fillId="2" borderId="0" applyNumberFormat="0" applyFont="0" applyBorder="0" applyAlignment="0" applyProtection="0"/>
    <xf numFmtId="0" fontId="73" fillId="3" borderId="2" applyNumberFormat="0" applyProtection="0">
      <alignment horizontal="left" vertical="top" indent="1"/>
    </xf>
    <xf numFmtId="0" fontId="85" fillId="0" borderId="70" applyNumberFormat="0" applyFill="0" applyAlignment="0" applyProtection="0"/>
    <xf numFmtId="43" fontId="3" fillId="0" borderId="0" applyFont="0" applyFill="0" applyBorder="0" applyAlignment="0" applyProtection="0"/>
    <xf numFmtId="0" fontId="3" fillId="0" borderId="0"/>
    <xf numFmtId="0" fontId="2" fillId="0" borderId="0"/>
    <xf numFmtId="0" fontId="1" fillId="0" borderId="0"/>
    <xf numFmtId="0" fontId="100" fillId="0" borderId="0"/>
  </cellStyleXfs>
  <cellXfs count="1195">
    <xf numFmtId="0" fontId="0" fillId="0" borderId="0" xfId="0"/>
    <xf numFmtId="0" fontId="5" fillId="0" borderId="0" xfId="0" applyFont="1"/>
    <xf numFmtId="0" fontId="10" fillId="0" borderId="0" xfId="0" applyFont="1"/>
    <xf numFmtId="0" fontId="5" fillId="0" borderId="3" xfId="0" applyFont="1" applyBorder="1"/>
    <xf numFmtId="0" fontId="5" fillId="0" borderId="4" xfId="0" applyFont="1" applyBorder="1"/>
    <xf numFmtId="0" fontId="5"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3" xfId="0" applyFont="1" applyBorder="1"/>
    <xf numFmtId="0" fontId="7" fillId="0" borderId="0" xfId="0" applyFont="1" applyAlignment="1">
      <alignment horizontal="center"/>
    </xf>
    <xf numFmtId="0" fontId="7" fillId="0" borderId="5" xfId="0" applyFont="1" applyBorder="1" applyAlignment="1">
      <alignment horizontal="left"/>
    </xf>
    <xf numFmtId="0" fontId="7" fillId="0" borderId="0" xfId="0" applyFont="1" applyAlignment="1">
      <alignment horizontal="center" wrapText="1"/>
    </xf>
    <xf numFmtId="0" fontId="7" fillId="0" borderId="4" xfId="0" applyFont="1" applyBorder="1"/>
    <xf numFmtId="3" fontId="5" fillId="0" borderId="0" xfId="0" applyNumberFormat="1" applyFont="1"/>
    <xf numFmtId="0" fontId="6" fillId="0" borderId="0" xfId="0" applyFont="1"/>
    <xf numFmtId="0" fontId="11" fillId="0" borderId="6" xfId="0" applyFont="1" applyBorder="1"/>
    <xf numFmtId="0" fontId="13" fillId="0" borderId="0" xfId="0" applyFont="1" applyAlignment="1">
      <alignment horizontal="center"/>
    </xf>
    <xf numFmtId="0" fontId="7" fillId="0" borderId="5" xfId="0" applyFont="1" applyBorder="1" applyAlignment="1">
      <alignment horizontal="center"/>
    </xf>
    <xf numFmtId="0" fontId="7" fillId="0" borderId="3" xfId="0" applyFont="1" applyBorder="1" applyAlignment="1">
      <alignment horizontal="center"/>
    </xf>
    <xf numFmtId="0" fontId="7" fillId="0" borderId="5" xfId="0" applyFont="1" applyBorder="1"/>
    <xf numFmtId="0" fontId="0" fillId="0" borderId="0" xfId="0" applyAlignment="1">
      <alignment horizontal="center"/>
    </xf>
    <xf numFmtId="0" fontId="0" fillId="0" borderId="0" xfId="0" applyAlignment="1">
      <alignment horizontal="left" wrapText="1"/>
    </xf>
    <xf numFmtId="0" fontId="9" fillId="0" borderId="0" xfId="0" applyFont="1"/>
    <xf numFmtId="0" fontId="8" fillId="0" borderId="0" xfId="0" applyFont="1"/>
    <xf numFmtId="0" fontId="18" fillId="0" borderId="0" xfId="0" applyFont="1" applyAlignment="1">
      <alignment horizontal="center"/>
    </xf>
    <xf numFmtId="3" fontId="7" fillId="0" borderId="0" xfId="0" applyNumberFormat="1" applyFont="1" applyAlignment="1">
      <alignment horizontal="right"/>
    </xf>
    <xf numFmtId="0" fontId="16" fillId="0" borderId="0" xfId="0" applyFont="1" applyAlignment="1">
      <alignment horizontal="left"/>
    </xf>
    <xf numFmtId="0" fontId="13" fillId="0" borderId="0" xfId="0" applyFont="1"/>
    <xf numFmtId="0" fontId="5" fillId="0" borderId="0" xfId="0" applyFont="1" applyAlignment="1">
      <alignment horizontal="center" wrapText="1"/>
    </xf>
    <xf numFmtId="3" fontId="5" fillId="0" borderId="3" xfId="0" applyNumberFormat="1" applyFont="1" applyBorder="1"/>
    <xf numFmtId="164" fontId="5" fillId="0" borderId="0" xfId="1" applyNumberFormat="1" applyFont="1" applyFill="1" applyAlignment="1"/>
    <xf numFmtId="0" fontId="9" fillId="0" borderId="0" xfId="0" applyFont="1" applyAlignment="1">
      <alignment horizontal="left"/>
    </xf>
    <xf numFmtId="37" fontId="12" fillId="0" borderId="0" xfId="0" applyNumberFormat="1" applyFont="1" applyAlignment="1">
      <alignment horizontal="left"/>
    </xf>
    <xf numFmtId="0" fontId="5" fillId="0" borderId="0" xfId="0" applyFont="1" applyAlignment="1">
      <alignment horizontal="left"/>
    </xf>
    <xf numFmtId="0" fontId="18" fillId="0" borderId="0" xfId="0" applyFont="1" applyAlignment="1">
      <alignment horizontal="right"/>
    </xf>
    <xf numFmtId="0" fontId="4" fillId="0" borderId="0" xfId="0" applyFont="1"/>
    <xf numFmtId="0" fontId="0" fillId="0" borderId="0" xfId="0" applyAlignment="1">
      <alignment horizontal="left"/>
    </xf>
    <xf numFmtId="164" fontId="0" fillId="0" borderId="0" xfId="1" applyNumberFormat="1" applyFont="1" applyAlignment="1"/>
    <xf numFmtId="164" fontId="3" fillId="0" borderId="0" xfId="1" applyNumberFormat="1" applyFill="1" applyBorder="1" applyAlignment="1">
      <alignment wrapText="1"/>
    </xf>
    <xf numFmtId="164" fontId="0" fillId="0" borderId="0" xfId="0" applyNumberFormat="1"/>
    <xf numFmtId="0" fontId="4" fillId="0" borderId="0" xfId="0" applyFont="1" applyAlignment="1">
      <alignment horizontal="center"/>
    </xf>
    <xf numFmtId="164" fontId="23" fillId="0" borderId="0" xfId="1" applyNumberFormat="1" applyFont="1" applyFill="1" applyAlignment="1"/>
    <xf numFmtId="0" fontId="23" fillId="0" borderId="0" xfId="0" applyFont="1"/>
    <xf numFmtId="164" fontId="7" fillId="0" borderId="0" xfId="1" applyNumberFormat="1" applyFont="1" applyFill="1"/>
    <xf numFmtId="164" fontId="5" fillId="0" borderId="0" xfId="1" applyNumberFormat="1" applyFont="1" applyFill="1"/>
    <xf numFmtId="3" fontId="5" fillId="0" borderId="4" xfId="0" applyNumberFormat="1" applyFont="1" applyBorder="1"/>
    <xf numFmtId="3" fontId="11" fillId="0" borderId="6" xfId="0" applyNumberFormat="1" applyFont="1" applyBorder="1"/>
    <xf numFmtId="0" fontId="5" fillId="0" borderId="3" xfId="0" applyFont="1" applyBorder="1" applyAlignment="1">
      <alignment horizontal="left"/>
    </xf>
    <xf numFmtId="0" fontId="24" fillId="0" borderId="0" xfId="0" applyFont="1" applyAlignment="1">
      <alignment horizontal="left"/>
    </xf>
    <xf numFmtId="0" fontId="5" fillId="0" borderId="0" xfId="0" applyFont="1" applyAlignment="1">
      <alignment horizontal="right"/>
    </xf>
    <xf numFmtId="0" fontId="9" fillId="0" borderId="0" xfId="0" applyFont="1" applyAlignment="1">
      <alignment horizontal="center"/>
    </xf>
    <xf numFmtId="0" fontId="22" fillId="0" borderId="0" xfId="0" applyFont="1"/>
    <xf numFmtId="164" fontId="23" fillId="0" borderId="0" xfId="1" applyNumberFormat="1" applyFont="1" applyFill="1" applyBorder="1" applyAlignment="1"/>
    <xf numFmtId="0" fontId="9" fillId="0" borderId="0" xfId="0" applyFont="1" applyAlignment="1">
      <alignment horizontal="center" vertical="top"/>
    </xf>
    <xf numFmtId="164" fontId="23" fillId="0" borderId="0" xfId="1" applyNumberFormat="1" applyFont="1" applyAlignment="1"/>
    <xf numFmtId="0" fontId="17" fillId="0" borderId="0" xfId="0" applyFont="1" applyAlignment="1">
      <alignment vertical="center" wrapText="1"/>
    </xf>
    <xf numFmtId="0" fontId="5" fillId="0" borderId="4" xfId="0" applyFont="1" applyBorder="1" applyAlignment="1">
      <alignment horizontal="center"/>
    </xf>
    <xf numFmtId="0" fontId="11" fillId="0" borderId="0" xfId="0" applyFont="1"/>
    <xf numFmtId="0" fontId="0" fillId="0" borderId="0" xfId="0" applyAlignment="1">
      <alignment horizontal="left" vertical="center" wrapText="1"/>
    </xf>
    <xf numFmtId="0" fontId="0" fillId="4" borderId="0" xfId="0" applyFill="1"/>
    <xf numFmtId="0" fontId="25" fillId="0" borderId="0" xfId="0" applyFont="1" applyAlignment="1">
      <alignment horizontal="center"/>
    </xf>
    <xf numFmtId="0" fontId="25" fillId="0" borderId="0" xfId="0" applyFont="1" applyAlignment="1">
      <alignment horizontal="left"/>
    </xf>
    <xf numFmtId="0" fontId="28" fillId="0" borderId="0" xfId="0" applyFont="1"/>
    <xf numFmtId="0" fontId="30" fillId="0" borderId="0" xfId="0" applyFont="1" applyAlignment="1">
      <alignment horizontal="center"/>
    </xf>
    <xf numFmtId="0" fontId="31" fillId="0" borderId="0" xfId="0" applyFont="1" applyAlignment="1">
      <alignment horizontal="center"/>
    </xf>
    <xf numFmtId="164" fontId="3" fillId="0" borderId="0" xfId="1" applyNumberFormat="1" applyFill="1" applyAlignment="1"/>
    <xf numFmtId="0" fontId="19" fillId="0" borderId="0" xfId="0" applyFont="1"/>
    <xf numFmtId="0" fontId="15" fillId="0" borderId="0" xfId="0" applyFont="1" applyAlignment="1">
      <alignment vertical="center" wrapText="1"/>
    </xf>
    <xf numFmtId="0" fontId="9" fillId="0" borderId="0" xfId="0" applyFont="1" applyAlignment="1">
      <alignment horizontal="right"/>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right"/>
    </xf>
    <xf numFmtId="0" fontId="7" fillId="0" borderId="1" xfId="0" applyFont="1" applyBorder="1" applyAlignment="1">
      <alignment horizontal="left"/>
    </xf>
    <xf numFmtId="0" fontId="7" fillId="0" borderId="1" xfId="0" applyFont="1" applyBorder="1"/>
    <xf numFmtId="0" fontId="7" fillId="0" borderId="9" xfId="0" applyFont="1" applyBorder="1"/>
    <xf numFmtId="0" fontId="7" fillId="0" borderId="10" xfId="0" applyFont="1" applyBorder="1" applyAlignment="1">
      <alignment horizontal="left"/>
    </xf>
    <xf numFmtId="3" fontId="7" fillId="0" borderId="0" xfId="0" applyNumberFormat="1" applyFont="1"/>
    <xf numFmtId="3" fontId="7" fillId="0" borderId="0" xfId="0" applyNumberFormat="1" applyFont="1" applyAlignment="1">
      <alignment horizontal="center"/>
    </xf>
    <xf numFmtId="0" fontId="7" fillId="0" borderId="1" xfId="0" applyFont="1" applyBorder="1" applyAlignment="1">
      <alignment horizontal="center"/>
    </xf>
    <xf numFmtId="0" fontId="7" fillId="0" borderId="10" xfId="0" applyFont="1" applyBorder="1" applyAlignment="1">
      <alignment horizontal="center"/>
    </xf>
    <xf numFmtId="0" fontId="7" fillId="0" borderId="0" xfId="0" applyFont="1" applyAlignment="1">
      <alignment horizontal="left" wrapText="1"/>
    </xf>
    <xf numFmtId="3" fontId="7" fillId="0" borderId="1" xfId="0" applyNumberFormat="1" applyFont="1" applyBorder="1" applyAlignment="1">
      <alignment horizontal="center"/>
    </xf>
    <xf numFmtId="0" fontId="23" fillId="0" borderId="0" xfId="0" applyFont="1" applyAlignment="1">
      <alignment horizontal="right"/>
    </xf>
    <xf numFmtId="0" fontId="8" fillId="0" borderId="0" xfId="0" applyFont="1" applyAlignment="1">
      <alignment horizontal="center"/>
    </xf>
    <xf numFmtId="0" fontId="4" fillId="0" borderId="0" xfId="0" applyFont="1" applyAlignment="1">
      <alignment horizontal="right"/>
    </xf>
    <xf numFmtId="0" fontId="9" fillId="0" borderId="0" xfId="0" applyFont="1" applyAlignment="1">
      <alignment horizontal="left" wrapText="1"/>
    </xf>
    <xf numFmtId="167" fontId="9" fillId="0" borderId="0" xfId="15" applyNumberFormat="1" applyFont="1" applyFill="1" applyAlignment="1">
      <alignment horizontal="center" wrapText="1"/>
    </xf>
    <xf numFmtId="37" fontId="9" fillId="0" borderId="0" xfId="0" applyNumberFormat="1" applyFont="1" applyAlignment="1">
      <alignment horizontal="right" wrapText="1"/>
    </xf>
    <xf numFmtId="0" fontId="9" fillId="0" borderId="0" xfId="0" applyFont="1" applyAlignment="1">
      <alignment horizontal="right" wrapText="1"/>
    </xf>
    <xf numFmtId="0" fontId="9" fillId="0" borderId="0" xfId="0" applyFont="1" applyAlignment="1">
      <alignment horizontal="left" vertical="center" wrapText="1"/>
    </xf>
    <xf numFmtId="37" fontId="9" fillId="0" borderId="0" xfId="0" applyNumberFormat="1" applyFont="1" applyAlignment="1">
      <alignment horizontal="right"/>
    </xf>
    <xf numFmtId="0" fontId="21" fillId="0" borderId="0" xfId="0" applyFont="1"/>
    <xf numFmtId="0" fontId="23" fillId="0" borderId="0" xfId="0" applyFont="1" applyAlignment="1">
      <alignment horizontal="left"/>
    </xf>
    <xf numFmtId="0" fontId="23" fillId="0" borderId="0" xfId="0" applyFont="1" applyAlignment="1">
      <alignment horizontal="center"/>
    </xf>
    <xf numFmtId="37" fontId="4" fillId="0" borderId="0" xfId="0" applyNumberFormat="1" applyFont="1"/>
    <xf numFmtId="37" fontId="23" fillId="0" borderId="0" xfId="0" applyNumberFormat="1" applyFont="1"/>
    <xf numFmtId="41" fontId="23" fillId="0" borderId="0" xfId="0" applyNumberFormat="1" applyFont="1" applyAlignment="1">
      <alignment horizontal="right"/>
    </xf>
    <xf numFmtId="164" fontId="23" fillId="0" borderId="0" xfId="1" applyNumberFormat="1" applyFont="1" applyFill="1" applyAlignment="1">
      <alignment horizontal="right"/>
    </xf>
    <xf numFmtId="37" fontId="23" fillId="0" borderId="0" xfId="0" applyNumberFormat="1" applyFont="1" applyAlignment="1">
      <alignment horizontal="right" wrapText="1"/>
    </xf>
    <xf numFmtId="0" fontId="0" fillId="0" borderId="11" xfId="0" applyBorder="1"/>
    <xf numFmtId="0" fontId="34" fillId="0" borderId="0" xfId="0" applyFont="1"/>
    <xf numFmtId="0" fontId="9" fillId="0" borderId="0" xfId="9"/>
    <xf numFmtId="0" fontId="9" fillId="0" borderId="0" xfId="9" applyAlignment="1">
      <alignment horizontal="center"/>
    </xf>
    <xf numFmtId="0" fontId="7" fillId="0" borderId="8" xfId="0" applyFont="1" applyBorder="1"/>
    <xf numFmtId="0" fontId="7" fillId="0" borderId="0" xfId="14" applyNumberFormat="1" applyFont="1" applyProtection="1">
      <protection locked="0"/>
    </xf>
    <xf numFmtId="169" fontId="7" fillId="0" borderId="0" xfId="14" applyFont="1" applyProtection="1">
      <protection locked="0"/>
    </xf>
    <xf numFmtId="0" fontId="14" fillId="0" borderId="0" xfId="0" applyFont="1"/>
    <xf numFmtId="0" fontId="4" fillId="0" borderId="0" xfId="9" applyFont="1"/>
    <xf numFmtId="0" fontId="4" fillId="0" borderId="0" xfId="9" quotePrefix="1" applyFont="1" applyAlignment="1">
      <alignment horizontal="center"/>
    </xf>
    <xf numFmtId="0" fontId="4" fillId="0" borderId="0" xfId="9" applyFont="1" applyAlignment="1">
      <alignment horizontal="center"/>
    </xf>
    <xf numFmtId="0" fontId="9" fillId="0" borderId="5" xfId="9" applyBorder="1"/>
    <xf numFmtId="0" fontId="4" fillId="0" borderId="5" xfId="9" quotePrefix="1" applyFont="1" applyBorder="1" applyAlignment="1">
      <alignment horizontal="center"/>
    </xf>
    <xf numFmtId="10" fontId="0" fillId="0" borderId="0" xfId="16" applyNumberFormat="1" applyFont="1" applyAlignment="1">
      <alignment horizontal="center"/>
    </xf>
    <xf numFmtId="0" fontId="32" fillId="0" borderId="0" xfId="9" applyFont="1" applyAlignment="1">
      <alignment horizontal="center"/>
    </xf>
    <xf numFmtId="0" fontId="20" fillId="0" borderId="11" xfId="9" applyFont="1" applyBorder="1" applyAlignment="1">
      <alignment horizontal="center"/>
    </xf>
    <xf numFmtId="0" fontId="9" fillId="0" borderId="11" xfId="9" applyBorder="1" applyAlignment="1">
      <alignment horizontal="center"/>
    </xf>
    <xf numFmtId="0" fontId="9" fillId="0" borderId="0" xfId="9" applyAlignment="1">
      <alignment horizontal="center" vertical="center" wrapText="1"/>
    </xf>
    <xf numFmtId="0" fontId="9" fillId="0" borderId="11" xfId="9" applyBorder="1" applyAlignment="1">
      <alignment horizontal="center" vertical="center" wrapText="1"/>
    </xf>
    <xf numFmtId="3" fontId="35" fillId="0" borderId="0" xfId="9" applyNumberFormat="1" applyFont="1" applyAlignment="1">
      <alignment horizontal="center" vertical="center"/>
    </xf>
    <xf numFmtId="10" fontId="0" fillId="0" borderId="0" xfId="16" applyNumberFormat="1" applyFont="1" applyBorder="1"/>
    <xf numFmtId="10" fontId="0" fillId="0" borderId="11" xfId="16" applyNumberFormat="1" applyFont="1" applyBorder="1"/>
    <xf numFmtId="44" fontId="5" fillId="0" borderId="0" xfId="9" applyNumberFormat="1" applyFont="1"/>
    <xf numFmtId="0" fontId="9" fillId="0" borderId="12" xfId="9" applyBorder="1" applyAlignment="1">
      <alignment horizontal="center"/>
    </xf>
    <xf numFmtId="0" fontId="9" fillId="0" borderId="0" xfId="9" applyAlignment="1">
      <alignment horizontal="center" wrapText="1"/>
    </xf>
    <xf numFmtId="0" fontId="37" fillId="0" borderId="0" xfId="9" applyFont="1" applyAlignment="1">
      <alignment horizontal="center"/>
    </xf>
    <xf numFmtId="0" fontId="9" fillId="0" borderId="0" xfId="9" applyAlignment="1">
      <alignment vertical="top"/>
    </xf>
    <xf numFmtId="0" fontId="38" fillId="0" borderId="0" xfId="9" applyFont="1" applyAlignment="1">
      <alignment vertical="top"/>
    </xf>
    <xf numFmtId="0" fontId="9" fillId="0" borderId="0" xfId="9" applyAlignment="1">
      <alignment horizontal="left" vertical="top"/>
    </xf>
    <xf numFmtId="0" fontId="38" fillId="0" borderId="0" xfId="9" applyFont="1" applyAlignment="1">
      <alignment horizontal="left" vertical="top"/>
    </xf>
    <xf numFmtId="10" fontId="0" fillId="0" borderId="0" xfId="16" applyNumberFormat="1" applyFont="1" applyBorder="1" applyAlignment="1">
      <alignment horizontal="center"/>
    </xf>
    <xf numFmtId="10" fontId="0" fillId="0" borderId="0" xfId="16" applyNumberFormat="1" applyFont="1" applyFill="1" applyBorder="1" applyAlignment="1">
      <alignment horizontal="center"/>
    </xf>
    <xf numFmtId="164" fontId="9" fillId="0" borderId="0" xfId="9" applyNumberFormat="1"/>
    <xf numFmtId="164" fontId="0" fillId="0" borderId="0" xfId="2" applyNumberFormat="1" applyFont="1" applyAlignment="1"/>
    <xf numFmtId="164" fontId="0" fillId="0" borderId="0" xfId="2" applyNumberFormat="1" applyFont="1" applyFill="1" applyBorder="1" applyAlignment="1"/>
    <xf numFmtId="164" fontId="0" fillId="0" borderId="0" xfId="2" applyNumberFormat="1" applyFont="1" applyFill="1" applyAlignment="1"/>
    <xf numFmtId="164" fontId="0" fillId="0" borderId="0" xfId="2" applyNumberFormat="1" applyFont="1" applyFill="1" applyBorder="1"/>
    <xf numFmtId="37" fontId="0" fillId="0" borderId="0" xfId="2" applyNumberFormat="1" applyFont="1" applyFill="1" applyBorder="1"/>
    <xf numFmtId="37" fontId="0" fillId="0" borderId="0" xfId="2" applyNumberFormat="1" applyFont="1" applyFill="1"/>
    <xf numFmtId="0" fontId="9" fillId="0" borderId="13" xfId="9" applyBorder="1"/>
    <xf numFmtId="0" fontId="20" fillId="0" borderId="5" xfId="9" applyFont="1" applyBorder="1"/>
    <xf numFmtId="0" fontId="20" fillId="0" borderId="5" xfId="9" applyFont="1" applyBorder="1" applyAlignment="1">
      <alignment horizontal="center"/>
    </xf>
    <xf numFmtId="0" fontId="20" fillId="0" borderId="5" xfId="9" applyFont="1" applyBorder="1" applyAlignment="1">
      <alignment horizontal="left"/>
    </xf>
    <xf numFmtId="0" fontId="20" fillId="0" borderId="14" xfId="9" applyFont="1" applyBorder="1" applyAlignment="1">
      <alignment horizontal="left"/>
    </xf>
    <xf numFmtId="0" fontId="9" fillId="0" borderId="15" xfId="9" applyBorder="1"/>
    <xf numFmtId="0" fontId="20" fillId="0" borderId="0" xfId="9" applyFont="1"/>
    <xf numFmtId="0" fontId="20" fillId="0" borderId="0" xfId="9" applyFont="1" applyAlignment="1">
      <alignment horizontal="center"/>
    </xf>
    <xf numFmtId="0" fontId="20" fillId="0" borderId="15" xfId="9" applyFont="1" applyBorder="1"/>
    <xf numFmtId="0" fontId="20" fillId="0" borderId="16" xfId="9" applyFont="1" applyBorder="1" applyAlignment="1">
      <alignment horizontal="center"/>
    </xf>
    <xf numFmtId="0" fontId="20" fillId="0" borderId="0" xfId="9" applyFont="1" applyAlignment="1">
      <alignment horizontal="left"/>
    </xf>
    <xf numFmtId="0" fontId="20" fillId="0" borderId="16" xfId="9" applyFont="1" applyBorder="1" applyAlignment="1">
      <alignment horizontal="left"/>
    </xf>
    <xf numFmtId="0" fontId="9" fillId="0" borderId="17" xfId="9" applyBorder="1"/>
    <xf numFmtId="0" fontId="20" fillId="0" borderId="3" xfId="9" applyFont="1" applyBorder="1"/>
    <xf numFmtId="0" fontId="20" fillId="0" borderId="3" xfId="9" applyFont="1" applyBorder="1" applyAlignment="1">
      <alignment horizontal="center"/>
    </xf>
    <xf numFmtId="0" fontId="20" fillId="0" borderId="3" xfId="9" applyFont="1" applyBorder="1" applyAlignment="1">
      <alignment horizontal="left"/>
    </xf>
    <xf numFmtId="0" fontId="20" fillId="0" borderId="17" xfId="9" applyFont="1" applyBorder="1"/>
    <xf numFmtId="0" fontId="20" fillId="0" borderId="18" xfId="9" applyFont="1" applyBorder="1" applyAlignment="1">
      <alignment horizontal="left"/>
    </xf>
    <xf numFmtId="0" fontId="24" fillId="0" borderId="0" xfId="9" applyFont="1"/>
    <xf numFmtId="0" fontId="38" fillId="0" borderId="0" xfId="9" applyFont="1"/>
    <xf numFmtId="0" fontId="9" fillId="0" borderId="0" xfId="9" quotePrefix="1" applyAlignment="1">
      <alignment horizontal="center"/>
    </xf>
    <xf numFmtId="166" fontId="9" fillId="0" borderId="0" xfId="9" applyNumberFormat="1"/>
    <xf numFmtId="166" fontId="9" fillId="0" borderId="11" xfId="9" applyNumberFormat="1" applyBorder="1"/>
    <xf numFmtId="0" fontId="9" fillId="0" borderId="0" xfId="9" applyAlignment="1">
      <alignment horizontal="center" vertical="top" wrapText="1"/>
    </xf>
    <xf numFmtId="14" fontId="9" fillId="0" borderId="0" xfId="9" applyNumberFormat="1" applyAlignment="1">
      <alignment horizontal="center" vertical="center" wrapText="1"/>
    </xf>
    <xf numFmtId="0" fontId="32" fillId="0" borderId="0" xfId="9" applyFont="1" applyAlignment="1">
      <alignment horizontal="center" vertical="top" wrapText="1"/>
    </xf>
    <xf numFmtId="0" fontId="32" fillId="0" borderId="0" xfId="9" applyFont="1" applyAlignment="1">
      <alignment horizontal="center" vertical="center" wrapText="1"/>
    </xf>
    <xf numFmtId="14" fontId="32" fillId="0" borderId="0" xfId="9" applyNumberFormat="1" applyFont="1" applyAlignment="1">
      <alignment horizontal="center" vertical="center" wrapText="1"/>
    </xf>
    <xf numFmtId="0" fontId="33" fillId="0" borderId="0" xfId="9" applyFont="1" applyAlignment="1">
      <alignment horizontal="center" vertical="top"/>
    </xf>
    <xf numFmtId="0" fontId="43" fillId="0" borderId="0" xfId="12" applyFont="1" applyAlignment="1">
      <alignment horizontal="center" vertical="top"/>
    </xf>
    <xf numFmtId="0" fontId="43" fillId="0" borderId="0" xfId="12" applyFont="1" applyAlignment="1">
      <alignment horizontal="left" vertical="top"/>
    </xf>
    <xf numFmtId="0" fontId="43" fillId="0" borderId="0" xfId="12" applyFont="1" applyAlignment="1">
      <alignment vertical="top"/>
    </xf>
    <xf numFmtId="0" fontId="44" fillId="0" borderId="0" xfId="12" applyFont="1" applyAlignment="1">
      <alignment vertical="top"/>
    </xf>
    <xf numFmtId="0" fontId="46" fillId="0" borderId="0" xfId="12" applyFont="1" applyAlignment="1">
      <alignment horizontal="center" vertical="top"/>
    </xf>
    <xf numFmtId="0" fontId="46" fillId="0" borderId="0" xfId="12" applyFont="1" applyAlignment="1">
      <alignment vertical="top"/>
    </xf>
    <xf numFmtId="0" fontId="43" fillId="0" borderId="0" xfId="12" applyFont="1" applyAlignment="1">
      <alignment horizontal="center"/>
    </xf>
    <xf numFmtId="164" fontId="43" fillId="0" borderId="0" xfId="12" applyNumberFormat="1" applyFont="1"/>
    <xf numFmtId="0" fontId="45" fillId="0" borderId="0" xfId="12" applyFont="1" applyAlignment="1">
      <alignment vertical="top"/>
    </xf>
    <xf numFmtId="171" fontId="46" fillId="0" borderId="0" xfId="12" applyNumberFormat="1" applyFont="1" applyAlignment="1">
      <alignment vertical="top"/>
    </xf>
    <xf numFmtId="37" fontId="43" fillId="0" borderId="0" xfId="12" applyNumberFormat="1" applyFont="1" applyAlignment="1">
      <alignment vertical="top"/>
    </xf>
    <xf numFmtId="0" fontId="43" fillId="0" borderId="0" xfId="12" applyFont="1" applyAlignment="1">
      <alignment vertical="top" wrapText="1"/>
    </xf>
    <xf numFmtId="0" fontId="45" fillId="0" borderId="0" xfId="12" applyFont="1" applyAlignment="1">
      <alignment vertical="center" wrapText="1"/>
    </xf>
    <xf numFmtId="0" fontId="0" fillId="0" borderId="0" xfId="0" applyAlignment="1">
      <alignment horizontal="center" vertical="center"/>
    </xf>
    <xf numFmtId="3" fontId="35" fillId="0" borderId="0" xfId="0" applyNumberFormat="1" applyFont="1" applyAlignment="1">
      <alignment horizontal="center" vertical="center"/>
    </xf>
    <xf numFmtId="0" fontId="51" fillId="0" borderId="0" xfId="0" applyFont="1" applyAlignment="1">
      <alignment horizontal="center" vertical="center"/>
    </xf>
    <xf numFmtId="0" fontId="0" fillId="0" borderId="11" xfId="0" applyBorder="1" applyAlignment="1">
      <alignment horizontal="center"/>
    </xf>
    <xf numFmtId="0" fontId="0" fillId="0" borderId="0" xfId="0" applyAlignment="1">
      <alignment horizontal="center" vertical="center" wrapText="1"/>
    </xf>
    <xf numFmtId="0" fontId="42" fillId="0" borderId="0" xfId="0" applyFont="1" applyAlignment="1">
      <alignment horizontal="center" vertical="center"/>
    </xf>
    <xf numFmtId="0" fontId="52" fillId="0" borderId="0" xfId="0" applyFont="1" applyAlignment="1">
      <alignment horizontal="center"/>
    </xf>
    <xf numFmtId="0" fontId="4" fillId="0" borderId="0" xfId="0" quotePrefix="1" applyFont="1" applyAlignment="1">
      <alignment horizontal="center"/>
    </xf>
    <xf numFmtId="3" fontId="20" fillId="0" borderId="0" xfId="6" applyNumberFormat="1" applyFont="1" applyFill="1" applyBorder="1"/>
    <xf numFmtId="0" fontId="0" fillId="0" borderId="0" xfId="0" applyAlignment="1">
      <alignment vertical="top"/>
    </xf>
    <xf numFmtId="0" fontId="7" fillId="0" borderId="19" xfId="0" applyFont="1" applyBorder="1"/>
    <xf numFmtId="164" fontId="3" fillId="0" borderId="0" xfId="1" applyNumberFormat="1" applyFont="1" applyFill="1" applyAlignment="1">
      <alignment wrapText="1"/>
    </xf>
    <xf numFmtId="164" fontId="0" fillId="0" borderId="11" xfId="0" applyNumberFormat="1" applyBorder="1"/>
    <xf numFmtId="0" fontId="25" fillId="0" borderId="0" xfId="0" applyFont="1" applyAlignment="1">
      <alignment horizontal="center" vertical="center"/>
    </xf>
    <xf numFmtId="3" fontId="14" fillId="0" borderId="0" xfId="0" applyNumberFormat="1" applyFont="1" applyAlignment="1">
      <alignment horizontal="center" vertical="center"/>
    </xf>
    <xf numFmtId="0" fontId="4" fillId="0" borderId="20" xfId="0" applyFont="1" applyBorder="1" applyAlignment="1">
      <alignment horizontal="center"/>
    </xf>
    <xf numFmtId="0" fontId="4" fillId="0" borderId="21"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28" fillId="0" borderId="0" xfId="0" applyFont="1" applyAlignment="1">
      <alignment horizontal="center" vertical="center"/>
    </xf>
    <xf numFmtId="37" fontId="29" fillId="0" borderId="0" xfId="0" applyNumberFormat="1" applyFont="1" applyAlignment="1">
      <alignment horizontal="left"/>
    </xf>
    <xf numFmtId="37" fontId="11" fillId="0" borderId="0" xfId="0" applyNumberFormat="1" applyFont="1" applyAlignment="1">
      <alignment horizontal="right"/>
    </xf>
    <xf numFmtId="0" fontId="14" fillId="0" borderId="0" xfId="0" applyFont="1" applyAlignment="1">
      <alignment horizontal="left"/>
    </xf>
    <xf numFmtId="0" fontId="14" fillId="0" borderId="0" xfId="0" applyFont="1" applyAlignment="1">
      <alignment horizontal="center"/>
    </xf>
    <xf numFmtId="0" fontId="11" fillId="0" borderId="0" xfId="0" applyFont="1" applyAlignment="1">
      <alignment horizontal="center"/>
    </xf>
    <xf numFmtId="37" fontId="14" fillId="0" borderId="0" xfId="0" applyNumberFormat="1" applyFont="1" applyAlignment="1">
      <alignment horizontal="left"/>
    </xf>
    <xf numFmtId="0" fontId="14" fillId="0" borderId="0" xfId="14" applyNumberFormat="1" applyFont="1" applyProtection="1">
      <protection locked="0"/>
    </xf>
    <xf numFmtId="164" fontId="0" fillId="0" borderId="0" xfId="2" applyNumberFormat="1" applyFont="1" applyFill="1"/>
    <xf numFmtId="1" fontId="0" fillId="0" borderId="0" xfId="2" applyNumberFormat="1" applyFont="1" applyFill="1"/>
    <xf numFmtId="175" fontId="9" fillId="0" borderId="0" xfId="9" applyNumberFormat="1" applyAlignment="1">
      <alignment horizontal="center"/>
    </xf>
    <xf numFmtId="175" fontId="9" fillId="0" borderId="0" xfId="9" applyNumberFormat="1"/>
    <xf numFmtId="0" fontId="20" fillId="0" borderId="13" xfId="9" applyFont="1" applyBorder="1"/>
    <xf numFmtId="3" fontId="7" fillId="0" borderId="0" xfId="0" applyNumberFormat="1" applyFont="1" applyAlignment="1">
      <alignment horizontal="left"/>
    </xf>
    <xf numFmtId="0" fontId="33" fillId="0" borderId="0" xfId="9" applyFont="1"/>
    <xf numFmtId="14" fontId="0" fillId="0" borderId="0" xfId="0" applyNumberFormat="1" applyAlignment="1">
      <alignment horizontal="center"/>
    </xf>
    <xf numFmtId="14" fontId="9" fillId="0" borderId="0" xfId="9" applyNumberFormat="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14" fontId="0" fillId="0" borderId="0" xfId="0" applyNumberFormat="1" applyAlignment="1" applyProtection="1">
      <alignment horizontal="center"/>
      <protection locked="0"/>
    </xf>
    <xf numFmtId="164" fontId="0" fillId="0" borderId="0" xfId="1" applyNumberFormat="1" applyFont="1" applyFill="1"/>
    <xf numFmtId="0" fontId="0" fillId="0" borderId="0" xfId="0" applyAlignment="1">
      <alignment horizontal="left" vertical="top"/>
    </xf>
    <xf numFmtId="164" fontId="7" fillId="0" borderId="0" xfId="1" applyNumberFormat="1" applyFont="1" applyFill="1" applyBorder="1" applyAlignment="1"/>
    <xf numFmtId="164" fontId="7" fillId="0" borderId="5" xfId="1" applyNumberFormat="1" applyFont="1" applyFill="1" applyBorder="1" applyAlignment="1"/>
    <xf numFmtId="0" fontId="9" fillId="0" borderId="5" xfId="0" applyFont="1" applyBorder="1" applyAlignment="1">
      <alignment horizontal="right" wrapText="1"/>
    </xf>
    <xf numFmtId="0" fontId="9" fillId="0" borderId="5" xfId="0" applyFont="1" applyBorder="1" applyAlignment="1">
      <alignment horizontal="right"/>
    </xf>
    <xf numFmtId="37" fontId="9" fillId="0" borderId="5" xfId="0" applyNumberFormat="1" applyFont="1" applyBorder="1" applyAlignment="1">
      <alignment horizontal="right" wrapText="1"/>
    </xf>
    <xf numFmtId="41" fontId="9" fillId="0" borderId="5" xfId="0" applyNumberFormat="1" applyFont="1" applyBorder="1" applyAlignment="1">
      <alignment horizontal="right"/>
    </xf>
    <xf numFmtId="3" fontId="7" fillId="0" borderId="8" xfId="0" applyNumberFormat="1" applyFont="1" applyBorder="1" applyAlignment="1">
      <alignment horizontal="center"/>
    </xf>
    <xf numFmtId="0" fontId="4" fillId="0" borderId="0" xfId="0" applyFont="1" applyAlignment="1">
      <alignment horizontal="left"/>
    </xf>
    <xf numFmtId="171" fontId="9" fillId="0" borderId="0" xfId="15" applyNumberFormat="1" applyFont="1" applyFill="1" applyAlignment="1">
      <alignment horizontal="center" wrapText="1"/>
    </xf>
    <xf numFmtId="0" fontId="52" fillId="0" borderId="0" xfId="0" applyFont="1"/>
    <xf numFmtId="164" fontId="43" fillId="0" borderId="0" xfId="1" applyNumberFormat="1" applyFont="1" applyFill="1" applyAlignment="1">
      <alignment vertical="top"/>
    </xf>
    <xf numFmtId="164" fontId="43" fillId="0" borderId="0" xfId="1" applyNumberFormat="1" applyFont="1" applyFill="1" applyAlignment="1">
      <alignment vertical="center"/>
    </xf>
    <xf numFmtId="0" fontId="7" fillId="0" borderId="7" xfId="0" applyFont="1" applyBorder="1"/>
    <xf numFmtId="0" fontId="5" fillId="0" borderId="26" xfId="0" applyFont="1" applyBorder="1" applyAlignment="1">
      <alignment horizontal="center" wrapText="1"/>
    </xf>
    <xf numFmtId="0" fontId="7" fillId="0" borderId="10" xfId="0" applyFont="1" applyBorder="1"/>
    <xf numFmtId="0" fontId="7" fillId="0" borderId="8" xfId="0" applyFont="1" applyBorder="1" applyAlignment="1">
      <alignment horizontal="center" vertical="center" wrapText="1"/>
    </xf>
    <xf numFmtId="0" fontId="7" fillId="0" borderId="1" xfId="0" applyFont="1" applyBorder="1" applyAlignment="1">
      <alignment horizontal="righ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7" fillId="0" borderId="0" xfId="0" applyFont="1" applyAlignment="1">
      <alignment vertical="center"/>
    </xf>
    <xf numFmtId="0" fontId="5" fillId="0" borderId="26"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7" xfId="0" applyFont="1" applyBorder="1" applyAlignment="1">
      <alignment horizontal="center" vertical="center"/>
    </xf>
    <xf numFmtId="0" fontId="7" fillId="0" borderId="27" xfId="0" applyFont="1" applyBorder="1"/>
    <xf numFmtId="0" fontId="13" fillId="0" borderId="1" xfId="0" applyFont="1" applyBorder="1" applyAlignment="1">
      <alignment horizontal="center"/>
    </xf>
    <xf numFmtId="0" fontId="5" fillId="0" borderId="9" xfId="0" applyFont="1" applyBorder="1" applyAlignment="1">
      <alignment horizontal="left" wrapText="1"/>
    </xf>
    <xf numFmtId="0" fontId="43" fillId="0" borderId="0" xfId="12" applyFont="1" applyAlignment="1">
      <alignment vertical="center" wrapText="1"/>
    </xf>
    <xf numFmtId="164" fontId="43" fillId="0" borderId="0" xfId="12" applyNumberFormat="1" applyFont="1" applyAlignment="1">
      <alignment vertical="center" wrapText="1"/>
    </xf>
    <xf numFmtId="0" fontId="43" fillId="0" borderId="0" xfId="12" applyFont="1" applyAlignment="1">
      <alignment horizontal="center" vertical="center" wrapText="1"/>
    </xf>
    <xf numFmtId="0" fontId="0" fillId="0" borderId="0" xfId="2" applyNumberFormat="1" applyFont="1" applyFill="1"/>
    <xf numFmtId="0" fontId="0" fillId="0" borderId="11" xfId="2" applyNumberFormat="1" applyFont="1" applyBorder="1"/>
    <xf numFmtId="0" fontId="3" fillId="0" borderId="11" xfId="0" applyFont="1" applyBorder="1"/>
    <xf numFmtId="38" fontId="43" fillId="0" borderId="0" xfId="12" applyNumberFormat="1" applyFont="1"/>
    <xf numFmtId="3" fontId="7" fillId="0" borderId="5" xfId="1" applyNumberFormat="1" applyFont="1" applyFill="1" applyBorder="1" applyAlignment="1"/>
    <xf numFmtId="37" fontId="5" fillId="0" borderId="0" xfId="1" applyNumberFormat="1" applyFont="1" applyFill="1" applyBorder="1"/>
    <xf numFmtId="0" fontId="22" fillId="0" borderId="0" xfId="0" applyFont="1" applyAlignment="1">
      <alignment horizontal="center"/>
    </xf>
    <xf numFmtId="0" fontId="45" fillId="0" borderId="0" xfId="12" applyFont="1" applyAlignment="1" applyProtection="1">
      <alignment vertical="top"/>
      <protection locked="0"/>
    </xf>
    <xf numFmtId="164" fontId="43" fillId="0" borderId="0" xfId="12" applyNumberFormat="1" applyFont="1" applyProtection="1">
      <protection locked="0"/>
    </xf>
    <xf numFmtId="0" fontId="43" fillId="0" borderId="0" xfId="12" applyFont="1" applyAlignment="1" applyProtection="1">
      <alignment vertical="top"/>
      <protection locked="0"/>
    </xf>
    <xf numFmtId="37" fontId="43" fillId="0" borderId="0" xfId="12" applyNumberFormat="1" applyFont="1" applyAlignment="1" applyProtection="1">
      <alignment vertical="top"/>
      <protection locked="0"/>
    </xf>
    <xf numFmtId="37" fontId="43" fillId="0" borderId="0" xfId="12" applyNumberFormat="1" applyFont="1" applyAlignment="1" applyProtection="1">
      <alignment horizontal="center" vertical="top"/>
      <protection locked="0"/>
    </xf>
    <xf numFmtId="3" fontId="7" fillId="0" borderId="28" xfId="0" applyNumberFormat="1" applyFont="1" applyBorder="1" applyAlignment="1">
      <alignment horizontal="center"/>
    </xf>
    <xf numFmtId="0" fontId="33" fillId="0" borderId="11" xfId="9" applyFont="1" applyBorder="1" applyAlignment="1">
      <alignment horizontal="center" vertical="center" wrapText="1"/>
    </xf>
    <xf numFmtId="0" fontId="33" fillId="0" borderId="11" xfId="9"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left"/>
    </xf>
    <xf numFmtId="0" fontId="7" fillId="0" borderId="31" xfId="0" applyFont="1" applyBorder="1" applyAlignment="1">
      <alignment horizontal="left"/>
    </xf>
    <xf numFmtId="0" fontId="5" fillId="0" borderId="20" xfId="0" applyFont="1" applyBorder="1" applyAlignment="1">
      <alignment horizontal="center"/>
    </xf>
    <xf numFmtId="0" fontId="5" fillId="0" borderId="25" xfId="0" applyFont="1" applyBorder="1" applyAlignment="1" applyProtection="1">
      <alignment horizontal="center"/>
      <protection locked="0"/>
    </xf>
    <xf numFmtId="0" fontId="5" fillId="0" borderId="25" xfId="0" applyFont="1" applyBorder="1" applyAlignment="1">
      <alignment horizontal="center"/>
    </xf>
    <xf numFmtId="0" fontId="5" fillId="0" borderId="21"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xf>
    <xf numFmtId="0" fontId="7" fillId="0" borderId="29" xfId="0" applyFont="1" applyBorder="1" applyAlignment="1">
      <alignment horizontal="center" vertical="center"/>
    </xf>
    <xf numFmtId="0" fontId="7" fillId="0" borderId="5" xfId="0" applyFont="1" applyBorder="1" applyAlignment="1">
      <alignment horizontal="left" vertical="center" wrapText="1"/>
    </xf>
    <xf numFmtId="0" fontId="7" fillId="0" borderId="11" xfId="0" applyFont="1" applyBorder="1" applyAlignment="1">
      <alignment vertical="center"/>
    </xf>
    <xf numFmtId="0" fontId="7" fillId="0" borderId="11" xfId="0" applyFont="1" applyBorder="1" applyAlignment="1">
      <alignment horizontal="left" vertical="center" wrapText="1"/>
    </xf>
    <xf numFmtId="0" fontId="5" fillId="0" borderId="37" xfId="0" applyFont="1" applyBorder="1" applyAlignment="1">
      <alignment horizontal="center"/>
    </xf>
    <xf numFmtId="0" fontId="4" fillId="0" borderId="0" xfId="0" applyFont="1" applyAlignment="1">
      <alignment vertical="top" wrapText="1"/>
    </xf>
    <xf numFmtId="0" fontId="4" fillId="0" borderId="0" xfId="0" applyFont="1" applyAlignment="1">
      <alignment horizontal="left" vertical="top" wrapText="1"/>
    </xf>
    <xf numFmtId="0" fontId="7" fillId="0" borderId="38" xfId="0" applyFont="1" applyBorder="1" applyAlignment="1">
      <alignment horizontal="center"/>
    </xf>
    <xf numFmtId="0" fontId="7" fillId="0" borderId="39" xfId="0" applyFont="1" applyBorder="1" applyAlignment="1">
      <alignment horizontal="left"/>
    </xf>
    <xf numFmtId="0" fontId="7" fillId="0" borderId="40" xfId="0" applyFont="1" applyBorder="1" applyAlignment="1">
      <alignment horizontal="center"/>
    </xf>
    <xf numFmtId="3" fontId="3" fillId="0" borderId="0" xfId="1" applyNumberFormat="1" applyFill="1" applyAlignment="1"/>
    <xf numFmtId="0" fontId="7" fillId="0" borderId="0" xfId="0" applyFont="1" applyAlignment="1">
      <alignment horizontal="center" vertical="center" wrapText="1"/>
    </xf>
    <xf numFmtId="0" fontId="7" fillId="0" borderId="11" xfId="0" applyFont="1" applyBorder="1"/>
    <xf numFmtId="0" fontId="7" fillId="0" borderId="36" xfId="0" applyFont="1" applyBorder="1"/>
    <xf numFmtId="0" fontId="7" fillId="0" borderId="42" xfId="0" applyFont="1" applyBorder="1"/>
    <xf numFmtId="174" fontId="9" fillId="0" borderId="0" xfId="9" applyNumberFormat="1" applyAlignment="1">
      <alignment horizontal="center"/>
    </xf>
    <xf numFmtId="0" fontId="54" fillId="0" borderId="5" xfId="0" applyFont="1" applyBorder="1" applyAlignment="1">
      <alignment horizontal="left"/>
    </xf>
    <xf numFmtId="0" fontId="9" fillId="0" borderId="0" xfId="0" applyFont="1" applyAlignment="1">
      <alignment horizontal="center" vertical="center"/>
    </xf>
    <xf numFmtId="0" fontId="5" fillId="0" borderId="8" xfId="0" applyFont="1" applyBorder="1"/>
    <xf numFmtId="0" fontId="5" fillId="0" borderId="1" xfId="0" applyFont="1" applyBorder="1"/>
    <xf numFmtId="3" fontId="7" fillId="0" borderId="3" xfId="0" applyNumberFormat="1" applyFont="1" applyBorder="1"/>
    <xf numFmtId="3" fontId="7" fillId="0" borderId="4" xfId="0" applyNumberFormat="1" applyFont="1" applyBorder="1" applyAlignment="1">
      <alignment horizontal="center"/>
    </xf>
    <xf numFmtId="3" fontId="7" fillId="0" borderId="4" xfId="0" applyNumberFormat="1" applyFont="1" applyBorder="1"/>
    <xf numFmtId="3" fontId="7" fillId="0" borderId="5" xfId="0" applyNumberFormat="1" applyFont="1" applyBorder="1"/>
    <xf numFmtId="3" fontId="7" fillId="0" borderId="19" xfId="0" applyNumberFormat="1" applyFont="1" applyBorder="1"/>
    <xf numFmtId="3" fontId="7" fillId="0" borderId="43" xfId="0" applyNumberFormat="1" applyFont="1" applyBorder="1"/>
    <xf numFmtId="3" fontId="7" fillId="0" borderId="3" xfId="0" applyNumberFormat="1" applyFont="1" applyBorder="1" applyAlignment="1">
      <alignment horizontal="center"/>
    </xf>
    <xf numFmtId="4" fontId="7" fillId="0" borderId="0" xfId="0" applyNumberFormat="1" applyFont="1" applyAlignment="1">
      <alignment horizontal="right"/>
    </xf>
    <xf numFmtId="3" fontId="12" fillId="0" borderId="0" xfId="0" applyNumberFormat="1" applyFont="1" applyAlignment="1">
      <alignment horizontal="right"/>
    </xf>
    <xf numFmtId="37" fontId="7" fillId="0" borderId="0" xfId="0" applyNumberFormat="1" applyFont="1"/>
    <xf numFmtId="171" fontId="7" fillId="0" borderId="0" xfId="0" applyNumberFormat="1" applyFont="1" applyAlignment="1">
      <alignment horizontal="right"/>
    </xf>
    <xf numFmtId="3" fontId="7" fillId="0" borderId="5" xfId="0" applyNumberFormat="1" applyFont="1" applyBorder="1" applyAlignment="1">
      <alignment horizontal="right"/>
    </xf>
    <xf numFmtId="3" fontId="12" fillId="0" borderId="5" xfId="0" applyNumberFormat="1" applyFont="1" applyBorder="1" applyAlignment="1">
      <alignment horizontal="right"/>
    </xf>
    <xf numFmtId="3" fontId="7" fillId="0" borderId="5" xfId="0" applyNumberFormat="1" applyFont="1" applyBorder="1" applyAlignment="1">
      <alignment horizontal="center"/>
    </xf>
    <xf numFmtId="10" fontId="7" fillId="0" borderId="0" xfId="0" applyNumberFormat="1" applyFont="1"/>
    <xf numFmtId="10" fontId="7" fillId="0" borderId="0" xfId="15" applyNumberFormat="1" applyFont="1" applyFill="1" applyAlignment="1"/>
    <xf numFmtId="167" fontId="7" fillId="0" borderId="0" xfId="0" applyNumberFormat="1" applyFont="1"/>
    <xf numFmtId="10" fontId="7" fillId="0" borderId="0" xfId="0" applyNumberFormat="1" applyFont="1" applyAlignment="1">
      <alignment horizontal="right"/>
    </xf>
    <xf numFmtId="172" fontId="7" fillId="0" borderId="0" xfId="15" applyNumberFormat="1" applyFont="1" applyFill="1" applyBorder="1" applyAlignment="1"/>
    <xf numFmtId="167" fontId="7" fillId="0" borderId="0" xfId="0" applyNumberFormat="1" applyFont="1" applyAlignment="1">
      <alignment horizontal="left"/>
    </xf>
    <xf numFmtId="10" fontId="5" fillId="0" borderId="0" xfId="0" applyNumberFormat="1" applyFont="1" applyAlignment="1">
      <alignment horizontal="right"/>
    </xf>
    <xf numFmtId="3" fontId="11" fillId="0" borderId="0" xfId="0" applyNumberFormat="1" applyFont="1" applyAlignment="1">
      <alignment horizontal="center"/>
    </xf>
    <xf numFmtId="10" fontId="7" fillId="0" borderId="0" xfId="15" applyNumberFormat="1" applyFont="1" applyFill="1" applyBorder="1"/>
    <xf numFmtId="0" fontId="11" fillId="0" borderId="5" xfId="0" applyFont="1" applyBorder="1"/>
    <xf numFmtId="0" fontId="5" fillId="0" borderId="0" xfId="0" applyFont="1" applyAlignment="1">
      <alignment vertical="center"/>
    </xf>
    <xf numFmtId="0" fontId="56" fillId="0" borderId="0" xfId="0" applyFont="1" applyAlignment="1">
      <alignment horizontal="center"/>
    </xf>
    <xf numFmtId="0" fontId="28" fillId="0" borderId="0" xfId="0" applyFont="1" applyAlignment="1">
      <alignment horizontal="left"/>
    </xf>
    <xf numFmtId="173" fontId="14" fillId="0" borderId="0" xfId="0" applyNumberFormat="1" applyFont="1" applyAlignment="1">
      <alignment horizontal="left"/>
    </xf>
    <xf numFmtId="0" fontId="14" fillId="0" borderId="0" xfId="0" applyFont="1" applyAlignment="1">
      <alignment horizontal="right"/>
    </xf>
    <xf numFmtId="0" fontId="28" fillId="0" borderId="0" xfId="0" applyFont="1" applyAlignment="1">
      <alignment horizontal="center"/>
    </xf>
    <xf numFmtId="0" fontId="5" fillId="0" borderId="7" xfId="0" applyFont="1" applyBorder="1" applyAlignment="1">
      <alignment horizontal="center"/>
    </xf>
    <xf numFmtId="0" fontId="7" fillId="0" borderId="1" xfId="0" applyFont="1" applyBorder="1" applyAlignment="1">
      <alignment horizontal="center" vertical="center" wrapText="1"/>
    </xf>
    <xf numFmtId="3" fontId="5" fillId="0" borderId="0" xfId="0" applyNumberFormat="1" applyFont="1" applyAlignment="1">
      <alignment horizontal="center"/>
    </xf>
    <xf numFmtId="3" fontId="5" fillId="0" borderId="10" xfId="0" applyNumberFormat="1" applyFont="1" applyBorder="1"/>
    <xf numFmtId="0" fontId="9" fillId="0" borderId="1" xfId="0" applyFont="1" applyBorder="1"/>
    <xf numFmtId="0" fontId="54" fillId="0" borderId="0" xfId="0" applyFont="1" applyAlignment="1">
      <alignment horizontal="left"/>
    </xf>
    <xf numFmtId="38" fontId="9" fillId="0" borderId="0" xfId="0" applyNumberFormat="1" applyFont="1"/>
    <xf numFmtId="0" fontId="7" fillId="0" borderId="44" xfId="0" applyFont="1" applyBorder="1" applyAlignment="1">
      <alignment vertical="center"/>
    </xf>
    <xf numFmtId="37" fontId="9" fillId="0" borderId="0" xfId="0" applyNumberFormat="1" applyFont="1"/>
    <xf numFmtId="164" fontId="9" fillId="0" borderId="0" xfId="1" applyNumberFormat="1" applyFont="1" applyFill="1" applyAlignment="1">
      <alignment horizontal="right"/>
    </xf>
    <xf numFmtId="0" fontId="7" fillId="0" borderId="45" xfId="0" applyFont="1" applyBorder="1" applyAlignment="1">
      <alignment horizontal="left"/>
    </xf>
    <xf numFmtId="0" fontId="5" fillId="0" borderId="24" xfId="0" applyFont="1" applyBorder="1" applyAlignment="1">
      <alignment horizontal="center" wrapText="1"/>
    </xf>
    <xf numFmtId="0" fontId="57" fillId="0" borderId="0" xfId="0" applyFont="1" applyAlignment="1">
      <alignment horizontal="left" vertical="center" indent="4"/>
    </xf>
    <xf numFmtId="164" fontId="5" fillId="0" borderId="0" xfId="1" applyNumberFormat="1" applyFont="1" applyFill="1" applyBorder="1" applyAlignment="1">
      <alignment horizontal="right"/>
    </xf>
    <xf numFmtId="0" fontId="75" fillId="0" borderId="0" xfId="0" applyFont="1"/>
    <xf numFmtId="0" fontId="7" fillId="0" borderId="11" xfId="0" applyFont="1" applyBorder="1" applyAlignment="1">
      <alignment horizontal="left"/>
    </xf>
    <xf numFmtId="0" fontId="58" fillId="0" borderId="0" xfId="0" applyFont="1" applyAlignment="1">
      <alignment horizontal="left"/>
    </xf>
    <xf numFmtId="0" fontId="7" fillId="0" borderId="19" xfId="0" applyFont="1" applyBorder="1" applyAlignment="1">
      <alignment horizontal="left"/>
    </xf>
    <xf numFmtId="0" fontId="7" fillId="0" borderId="49" xfId="0" applyFont="1" applyBorder="1" applyAlignment="1">
      <alignment horizontal="left"/>
    </xf>
    <xf numFmtId="0" fontId="7" fillId="0" borderId="18" xfId="0" applyFont="1" applyBorder="1"/>
    <xf numFmtId="0" fontId="7" fillId="0" borderId="17" xfId="0" applyFont="1" applyBorder="1"/>
    <xf numFmtId="0" fontId="59" fillId="0" borderId="0" xfId="0" applyFont="1" applyAlignment="1">
      <alignment horizontal="left"/>
    </xf>
    <xf numFmtId="0" fontId="9" fillId="0" borderId="0" xfId="0" applyFont="1" applyAlignment="1">
      <alignment vertical="top"/>
    </xf>
    <xf numFmtId="0" fontId="7" fillId="0" borderId="50" xfId="0" applyFont="1" applyBorder="1" applyAlignment="1">
      <alignment horizontal="center" vertical="center"/>
    </xf>
    <xf numFmtId="0" fontId="7" fillId="0" borderId="17"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center" vertical="center"/>
    </xf>
    <xf numFmtId="0" fontId="7" fillId="0" borderId="12" xfId="0" applyFont="1" applyBorder="1" applyAlignment="1">
      <alignment horizontal="left" vertical="center" wrapText="1"/>
    </xf>
    <xf numFmtId="38" fontId="7" fillId="0" borderId="0" xfId="0" applyNumberFormat="1" applyFont="1"/>
    <xf numFmtId="0" fontId="60" fillId="0" borderId="0" xfId="0" applyFont="1" applyAlignment="1">
      <alignment horizontal="left"/>
    </xf>
    <xf numFmtId="0" fontId="7" fillId="0" borderId="53" xfId="0" applyFont="1" applyBorder="1" applyAlignment="1">
      <alignment horizontal="left"/>
    </xf>
    <xf numFmtId="0" fontId="7" fillId="0" borderId="54" xfId="0" applyFont="1" applyBorder="1" applyAlignment="1">
      <alignment horizontal="center" vertical="center"/>
    </xf>
    <xf numFmtId="0" fontId="7" fillId="0" borderId="55" xfId="0" applyFont="1" applyBorder="1" applyAlignment="1">
      <alignment vertical="center"/>
    </xf>
    <xf numFmtId="167" fontId="7" fillId="0" borderId="0" xfId="15" applyNumberFormat="1" applyFont="1" applyFill="1" applyBorder="1"/>
    <xf numFmtId="0" fontId="9" fillId="0" borderId="0" xfId="0" applyFont="1" applyAlignment="1">
      <alignment vertical="top" wrapText="1"/>
    </xf>
    <xf numFmtId="0" fontId="9" fillId="0" borderId="1" xfId="0" applyFont="1" applyBorder="1" applyAlignment="1">
      <alignment vertical="top" wrapText="1"/>
    </xf>
    <xf numFmtId="0" fontId="5" fillId="0" borderId="56" xfId="0" applyFont="1" applyBorder="1" applyAlignment="1">
      <alignment horizontal="left"/>
    </xf>
    <xf numFmtId="0" fontId="5" fillId="0" borderId="56" xfId="0" applyFont="1" applyBorder="1"/>
    <xf numFmtId="0" fontId="7" fillId="0" borderId="56" xfId="0" applyFont="1" applyBorder="1"/>
    <xf numFmtId="3" fontId="7" fillId="0" borderId="56" xfId="0" applyNumberFormat="1" applyFont="1" applyBorder="1" applyAlignment="1">
      <alignment horizontal="center"/>
    </xf>
    <xf numFmtId="3" fontId="7" fillId="0" borderId="57" xfId="0" applyNumberFormat="1" applyFont="1" applyBorder="1" applyAlignment="1">
      <alignment horizontal="center"/>
    </xf>
    <xf numFmtId="0" fontId="9" fillId="0" borderId="1" xfId="0" applyFont="1" applyBorder="1" applyAlignment="1">
      <alignment vertical="top"/>
    </xf>
    <xf numFmtId="0" fontId="5" fillId="0" borderId="27" xfId="0" applyFont="1" applyBorder="1" applyAlignment="1">
      <alignment horizontal="center"/>
    </xf>
    <xf numFmtId="0" fontId="5" fillId="0" borderId="56" xfId="0" applyFont="1" applyBorder="1" applyAlignment="1">
      <alignment horizontal="center"/>
    </xf>
    <xf numFmtId="0" fontId="7" fillId="0" borderId="0" xfId="0" applyFont="1" applyAlignment="1">
      <alignment horizontal="right" vertical="center" wrapText="1"/>
    </xf>
    <xf numFmtId="3" fontId="7" fillId="0" borderId="0" xfId="0" applyNumberFormat="1" applyFont="1" applyAlignment="1">
      <alignment horizontal="center" vertical="center" wrapText="1"/>
    </xf>
    <xf numFmtId="164" fontId="7" fillId="0" borderId="0" xfId="1" applyNumberFormat="1" applyFont="1" applyFill="1" applyBorder="1" applyAlignment="1">
      <alignment horizontal="center" vertical="center" wrapText="1"/>
    </xf>
    <xf numFmtId="0" fontId="7" fillId="0" borderId="27" xfId="0" applyFont="1" applyBorder="1" applyAlignment="1">
      <alignment horizontal="center"/>
    </xf>
    <xf numFmtId="0" fontId="7" fillId="0" borderId="56" xfId="0" applyFont="1" applyBorder="1" applyAlignment="1">
      <alignment horizontal="left"/>
    </xf>
    <xf numFmtId="0" fontId="7" fillId="0" borderId="57" xfId="0" applyFont="1" applyBorder="1" applyAlignment="1">
      <alignment horizontal="left"/>
    </xf>
    <xf numFmtId="0" fontId="5" fillId="0" borderId="58" xfId="0" applyFont="1" applyBorder="1" applyAlignment="1">
      <alignment horizontal="center" vertical="center" wrapText="1"/>
    </xf>
    <xf numFmtId="0" fontId="5" fillId="0" borderId="6" xfId="0" applyFont="1" applyBorder="1" applyAlignment="1">
      <alignment wrapText="1"/>
    </xf>
    <xf numFmtId="0" fontId="7" fillId="0" borderId="59" xfId="0" applyFont="1" applyBorder="1" applyAlignment="1">
      <alignment wrapText="1"/>
    </xf>
    <xf numFmtId="0" fontId="5" fillId="0" borderId="59" xfId="0" applyFont="1" applyBorder="1" applyAlignment="1">
      <alignment horizontal="center" wrapText="1"/>
    </xf>
    <xf numFmtId="43" fontId="7" fillId="0" borderId="0" xfId="1" applyFont="1" applyFill="1" applyAlignment="1"/>
    <xf numFmtId="174" fontId="43" fillId="0" borderId="0" xfId="12" applyNumberFormat="1" applyFont="1" applyAlignment="1">
      <alignment horizontal="center"/>
    </xf>
    <xf numFmtId="0" fontId="45" fillId="0" borderId="0" xfId="12" applyFont="1" applyAlignment="1">
      <alignment horizontal="center" vertical="top"/>
    </xf>
    <xf numFmtId="174" fontId="43" fillId="0" borderId="0" xfId="12" applyNumberFormat="1" applyFont="1" applyAlignment="1">
      <alignment horizontal="center" vertical="top"/>
    </xf>
    <xf numFmtId="0" fontId="47" fillId="0" borderId="0" xfId="12" applyFont="1" applyAlignment="1" applyProtection="1">
      <alignment horizontal="center" vertical="top"/>
      <protection locked="0"/>
    </xf>
    <xf numFmtId="0" fontId="43" fillId="0" borderId="0" xfId="12" applyFont="1" applyAlignment="1" applyProtection="1">
      <alignment horizontal="center" vertical="top"/>
      <protection locked="0"/>
    </xf>
    <xf numFmtId="174" fontId="43" fillId="5" borderId="0" xfId="12" applyNumberFormat="1" applyFont="1" applyFill="1" applyAlignment="1" applyProtection="1">
      <alignment horizontal="center" vertical="center" wrapText="1"/>
      <protection locked="0"/>
    </xf>
    <xf numFmtId="0" fontId="43" fillId="5" borderId="0" xfId="12" applyFont="1" applyFill="1" applyAlignment="1" applyProtection="1">
      <alignment vertical="center" wrapText="1"/>
      <protection locked="0"/>
    </xf>
    <xf numFmtId="164" fontId="43" fillId="5" borderId="0" xfId="12" applyNumberFormat="1" applyFont="1" applyFill="1" applyAlignment="1" applyProtection="1">
      <alignment vertical="center" wrapText="1"/>
      <protection locked="0"/>
    </xf>
    <xf numFmtId="14" fontId="9" fillId="5" borderId="0" xfId="9" applyNumberFormat="1" applyFill="1" applyAlignment="1">
      <alignment horizontal="center"/>
    </xf>
    <xf numFmtId="1" fontId="53" fillId="5" borderId="0" xfId="2" applyNumberFormat="1" applyFont="1" applyFill="1" applyProtection="1">
      <protection locked="0"/>
    </xf>
    <xf numFmtId="0" fontId="53" fillId="5" borderId="0" xfId="2" applyNumberFormat="1" applyFont="1" applyFill="1" applyBorder="1"/>
    <xf numFmtId="0" fontId="7" fillId="0" borderId="38" xfId="0" applyFont="1" applyBorder="1" applyAlignment="1">
      <alignment horizontal="center" vertical="center"/>
    </xf>
    <xf numFmtId="43" fontId="9" fillId="0" borderId="0" xfId="1" applyFont="1" applyAlignment="1"/>
    <xf numFmtId="164" fontId="43" fillId="0" borderId="0" xfId="12" applyNumberFormat="1" applyFont="1" applyAlignment="1">
      <alignment vertical="top"/>
    </xf>
    <xf numFmtId="38" fontId="7" fillId="5" borderId="11" xfId="0" applyNumberFormat="1" applyFont="1" applyFill="1" applyBorder="1" applyProtection="1">
      <protection locked="0"/>
    </xf>
    <xf numFmtId="0" fontId="5" fillId="5" borderId="34" xfId="0" applyFont="1" applyFill="1" applyBorder="1" applyAlignment="1">
      <alignment horizontal="center"/>
    </xf>
    <xf numFmtId="166" fontId="53" fillId="0" borderId="0" xfId="7" applyNumberFormat="1" applyFont="1" applyFill="1" applyProtection="1">
      <protection locked="0"/>
    </xf>
    <xf numFmtId="0" fontId="7" fillId="0" borderId="57" xfId="0" applyFont="1" applyBorder="1"/>
    <xf numFmtId="3" fontId="7" fillId="0" borderId="60" xfId="0" applyNumberFormat="1" applyFont="1" applyBorder="1" applyAlignment="1">
      <alignment horizontal="center"/>
    </xf>
    <xf numFmtId="3" fontId="7" fillId="0" borderId="24" xfId="0" applyNumberFormat="1" applyFont="1" applyBorder="1" applyAlignment="1">
      <alignment horizontal="center" vertical="center" wrapText="1"/>
    </xf>
    <xf numFmtId="0" fontId="5" fillId="0" borderId="60" xfId="0" applyFont="1" applyBorder="1" applyAlignment="1">
      <alignment horizontal="center"/>
    </xf>
    <xf numFmtId="0" fontId="7" fillId="0" borderId="60" xfId="0" applyFont="1" applyBorder="1"/>
    <xf numFmtId="0" fontId="7" fillId="0" borderId="24" xfId="0" applyFont="1" applyBorder="1"/>
    <xf numFmtId="171" fontId="7" fillId="0" borderId="10" xfId="0" applyNumberFormat="1" applyFont="1" applyBorder="1"/>
    <xf numFmtId="0" fontId="5" fillId="0" borderId="9" xfId="0" applyFont="1" applyBorder="1"/>
    <xf numFmtId="3" fontId="7" fillId="0" borderId="61" xfId="0" applyNumberFormat="1" applyFont="1" applyBorder="1" applyAlignment="1">
      <alignment horizontal="center"/>
    </xf>
    <xf numFmtId="0" fontId="7" fillId="0" borderId="24" xfId="0" applyFont="1" applyBorder="1" applyAlignment="1">
      <alignment horizontal="center"/>
    </xf>
    <xf numFmtId="0" fontId="7" fillId="0" borderId="60" xfId="0" applyFont="1" applyBorder="1" applyAlignment="1">
      <alignment horizontal="center"/>
    </xf>
    <xf numFmtId="38" fontId="7" fillId="0" borderId="61" xfId="0" applyNumberFormat="1" applyFont="1" applyBorder="1" applyAlignment="1">
      <alignment horizontal="center"/>
    </xf>
    <xf numFmtId="38" fontId="7" fillId="0" borderId="0" xfId="0" applyNumberFormat="1" applyFont="1" applyAlignment="1">
      <alignment horizontal="center"/>
    </xf>
    <xf numFmtId="3" fontId="7" fillId="0" borderId="24" xfId="0" applyNumberFormat="1" applyFont="1" applyBorder="1" applyAlignment="1">
      <alignment horizontal="center"/>
    </xf>
    <xf numFmtId="0" fontId="7" fillId="0" borderId="7" xfId="0" applyFont="1" applyBorder="1" applyAlignment="1">
      <alignment horizontal="left" wrapText="1"/>
    </xf>
    <xf numFmtId="0" fontId="7" fillId="0" borderId="10" xfId="0" applyFont="1" applyBorder="1" applyAlignment="1">
      <alignment horizontal="left" wrapText="1"/>
    </xf>
    <xf numFmtId="0" fontId="9" fillId="0" borderId="56" xfId="0" applyFont="1" applyBorder="1" applyAlignment="1">
      <alignment horizontal="left" wrapText="1"/>
    </xf>
    <xf numFmtId="0" fontId="9" fillId="0" borderId="57" xfId="0" applyFont="1" applyBorder="1" applyAlignment="1">
      <alignment horizontal="left" wrapText="1"/>
    </xf>
    <xf numFmtId="0" fontId="9" fillId="0" borderId="9" xfId="0" applyFont="1" applyBorder="1"/>
    <xf numFmtId="0" fontId="7" fillId="0" borderId="44" xfId="0" applyFont="1" applyBorder="1"/>
    <xf numFmtId="38" fontId="7" fillId="5" borderId="44" xfId="0" applyNumberFormat="1" applyFont="1" applyFill="1" applyBorder="1" applyProtection="1">
      <protection locked="0"/>
    </xf>
    <xf numFmtId="0" fontId="7" fillId="0" borderId="62" xfId="0" applyFont="1" applyBorder="1"/>
    <xf numFmtId="0" fontId="7" fillId="0" borderId="64" xfId="0" applyFont="1" applyBorder="1" applyAlignment="1">
      <alignment horizontal="left"/>
    </xf>
    <xf numFmtId="0" fontId="0" fillId="0" borderId="0" xfId="0" applyAlignment="1">
      <alignment horizontal="center" vertical="top"/>
    </xf>
    <xf numFmtId="10" fontId="5" fillId="0" borderId="26" xfId="0" applyNumberFormat="1" applyFont="1" applyBorder="1" applyAlignment="1">
      <alignment horizontal="center" vertical="center" wrapText="1"/>
    </xf>
    <xf numFmtId="10" fontId="7" fillId="0" borderId="0" xfId="0" applyNumberFormat="1" applyFont="1" applyAlignment="1">
      <alignment horizontal="center" vertical="center" wrapText="1"/>
    </xf>
    <xf numFmtId="10" fontId="5" fillId="0" borderId="26" xfId="0" applyNumberFormat="1" applyFont="1" applyBorder="1" applyAlignment="1">
      <alignment horizontal="center" wrapText="1"/>
    </xf>
    <xf numFmtId="0" fontId="7" fillId="0" borderId="27" xfId="0" applyFont="1" applyBorder="1" applyAlignment="1">
      <alignment wrapText="1"/>
    </xf>
    <xf numFmtId="10" fontId="7" fillId="0" borderId="8" xfId="0" applyNumberFormat="1" applyFont="1" applyBorder="1" applyAlignment="1">
      <alignment horizontal="center" wrapText="1"/>
    </xf>
    <xf numFmtId="10" fontId="7" fillId="0" borderId="0" xfId="0" applyNumberFormat="1" applyFont="1" applyAlignment="1">
      <alignment horizontal="center" wrapText="1"/>
    </xf>
    <xf numFmtId="10" fontId="7" fillId="0" borderId="60" xfId="0" applyNumberFormat="1" applyFont="1" applyBorder="1" applyAlignment="1">
      <alignment horizontal="center" wrapText="1"/>
    </xf>
    <xf numFmtId="10" fontId="7" fillId="0" borderId="24" xfId="0" applyNumberFormat="1" applyFont="1" applyBorder="1" applyAlignment="1">
      <alignment horizontal="center" wrapText="1"/>
    </xf>
    <xf numFmtId="10" fontId="7" fillId="0" borderId="24" xfId="0" applyNumberFormat="1" applyFont="1" applyBorder="1" applyAlignment="1">
      <alignment wrapText="1"/>
    </xf>
    <xf numFmtId="10" fontId="7" fillId="0" borderId="0" xfId="0" applyNumberFormat="1" applyFont="1" applyAlignment="1">
      <alignment wrapText="1"/>
    </xf>
    <xf numFmtId="10" fontId="7" fillId="0" borderId="27" xfId="0" applyNumberFormat="1" applyFont="1" applyBorder="1" applyAlignment="1">
      <alignment horizontal="center" wrapText="1"/>
    </xf>
    <xf numFmtId="0" fontId="9" fillId="0" borderId="60" xfId="0" applyFont="1" applyBorder="1" applyAlignment="1">
      <alignment horizontal="left" wrapText="1"/>
    </xf>
    <xf numFmtId="0" fontId="5" fillId="0" borderId="60" xfId="0" applyFont="1" applyBorder="1" applyAlignment="1">
      <alignment horizontal="center" wrapText="1"/>
    </xf>
    <xf numFmtId="0" fontId="7" fillId="0" borderId="61" xfId="0" applyFont="1" applyBorder="1" applyAlignment="1">
      <alignment horizontal="center"/>
    </xf>
    <xf numFmtId="3" fontId="7" fillId="0" borderId="61" xfId="0" applyNumberFormat="1" applyFont="1" applyBorder="1"/>
    <xf numFmtId="3" fontId="5" fillId="0" borderId="61" xfId="0" applyNumberFormat="1" applyFont="1" applyBorder="1" applyAlignment="1">
      <alignment horizontal="right"/>
    </xf>
    <xf numFmtId="0" fontId="5" fillId="0" borderId="60" xfId="0" applyFont="1" applyBorder="1" applyAlignment="1">
      <alignment horizontal="left" wrapText="1"/>
    </xf>
    <xf numFmtId="10" fontId="7" fillId="0" borderId="61" xfId="15" applyNumberFormat="1" applyFont="1" applyFill="1" applyBorder="1" applyAlignment="1">
      <alignment horizontal="center"/>
    </xf>
    <xf numFmtId="9" fontId="7" fillId="0" borderId="0" xfId="15" applyFont="1" applyFill="1" applyBorder="1" applyAlignment="1">
      <alignment horizontal="right"/>
    </xf>
    <xf numFmtId="10" fontId="46" fillId="0" borderId="0" xfId="12" applyNumberFormat="1" applyFont="1"/>
    <xf numFmtId="37" fontId="43" fillId="0" borderId="0" xfId="12" applyNumberFormat="1" applyFont="1"/>
    <xf numFmtId="37" fontId="43" fillId="0" borderId="11" xfId="12" applyNumberFormat="1" applyFont="1" applyBorder="1"/>
    <xf numFmtId="164" fontId="7" fillId="0" borderId="61" xfId="1" applyNumberFormat="1" applyFont="1" applyFill="1" applyBorder="1" applyAlignment="1">
      <alignment horizontal="center"/>
    </xf>
    <xf numFmtId="10" fontId="0" fillId="0" borderId="0" xfId="16" applyNumberFormat="1" applyFont="1" applyFill="1" applyBorder="1"/>
    <xf numFmtId="10" fontId="4" fillId="0" borderId="0" xfId="16" applyNumberFormat="1" applyFont="1" applyFill="1" applyBorder="1" applyAlignment="1">
      <alignment horizontal="center" vertical="center" wrapText="1"/>
    </xf>
    <xf numFmtId="10" fontId="4" fillId="0" borderId="0" xfId="16" applyNumberFormat="1" applyFont="1" applyFill="1" applyBorder="1" applyAlignment="1">
      <alignment horizontal="center" wrapText="1"/>
    </xf>
    <xf numFmtId="10" fontId="20" fillId="0" borderId="0" xfId="16" applyNumberFormat="1" applyFont="1" applyFill="1" applyBorder="1" applyAlignment="1">
      <alignment horizontal="center"/>
    </xf>
    <xf numFmtId="10" fontId="20" fillId="0" borderId="0" xfId="16" applyNumberFormat="1" applyFont="1" applyFill="1" applyBorder="1"/>
    <xf numFmtId="1" fontId="9" fillId="0" borderId="0" xfId="9" applyNumberFormat="1"/>
    <xf numFmtId="171" fontId="5" fillId="0" borderId="0" xfId="15" applyNumberFormat="1" applyFont="1" applyFill="1" applyAlignment="1"/>
    <xf numFmtId="0" fontId="7" fillId="0" borderId="4" xfId="0" applyFont="1" applyBorder="1" applyAlignment="1">
      <alignment horizontal="center"/>
    </xf>
    <xf numFmtId="171" fontId="5" fillId="0" borderId="0" xfId="15" applyNumberFormat="1" applyFont="1" applyFill="1" applyBorder="1" applyAlignment="1"/>
    <xf numFmtId="0" fontId="7" fillId="0" borderId="19" xfId="0" applyFont="1" applyBorder="1" applyAlignment="1">
      <alignment horizontal="center"/>
    </xf>
    <xf numFmtId="164" fontId="7" fillId="0" borderId="19" xfId="1" applyNumberFormat="1" applyFont="1" applyFill="1" applyBorder="1" applyAlignment="1"/>
    <xf numFmtId="0" fontId="5" fillId="0" borderId="43" xfId="0" applyFont="1" applyBorder="1"/>
    <xf numFmtId="0" fontId="7" fillId="0" borderId="43" xfId="0" applyFont="1" applyBorder="1"/>
    <xf numFmtId="0" fontId="7" fillId="0" borderId="43" xfId="0" applyFont="1" applyBorder="1" applyAlignment="1">
      <alignment horizontal="center"/>
    </xf>
    <xf numFmtId="167" fontId="7" fillId="0" borderId="0" xfId="0" applyNumberFormat="1" applyFont="1" applyAlignment="1">
      <alignment horizontal="center"/>
    </xf>
    <xf numFmtId="10" fontId="7" fillId="0" borderId="0" xfId="15" applyNumberFormat="1" applyFont="1" applyFill="1" applyBorder="1" applyAlignment="1"/>
    <xf numFmtId="0" fontId="5" fillId="0" borderId="4" xfId="0" applyFont="1" applyBorder="1" applyAlignment="1">
      <alignment horizontal="left"/>
    </xf>
    <xf numFmtId="0" fontId="55" fillId="0" borderId="0" xfId="0" applyFont="1" applyAlignment="1">
      <alignment horizontal="left"/>
    </xf>
    <xf numFmtId="0" fontId="55" fillId="0" borderId="0" xfId="0" applyFont="1"/>
    <xf numFmtId="3" fontId="7" fillId="0" borderId="3" xfId="0" applyNumberFormat="1" applyFont="1" applyBorder="1" applyAlignment="1">
      <alignment horizontal="right"/>
    </xf>
    <xf numFmtId="0" fontId="5" fillId="0" borderId="3" xfId="0" applyFont="1" applyBorder="1" applyAlignment="1">
      <alignment horizontal="center"/>
    </xf>
    <xf numFmtId="3" fontId="13" fillId="0" borderId="3" xfId="0" applyNumberFormat="1" applyFont="1" applyBorder="1" applyAlignment="1">
      <alignment horizontal="right"/>
    </xf>
    <xf numFmtId="170" fontId="7" fillId="0" borderId="0" xfId="15" applyNumberFormat="1" applyFont="1" applyFill="1" applyAlignment="1">
      <alignment horizontal="right"/>
    </xf>
    <xf numFmtId="3" fontId="5" fillId="0" borderId="3" xfId="0" applyNumberFormat="1" applyFont="1" applyBorder="1" applyAlignment="1">
      <alignment horizontal="right"/>
    </xf>
    <xf numFmtId="3" fontId="5" fillId="0" borderId="0" xfId="0" applyNumberFormat="1" applyFont="1" applyAlignment="1">
      <alignment horizontal="right"/>
    </xf>
    <xf numFmtId="0" fontId="5" fillId="0" borderId="4" xfId="0" applyFont="1" applyBorder="1" applyAlignment="1">
      <alignment horizontal="right"/>
    </xf>
    <xf numFmtId="3" fontId="7" fillId="0" borderId="0" xfId="0" quotePrefix="1" applyNumberFormat="1" applyFont="1" applyAlignment="1">
      <alignment horizontal="right"/>
    </xf>
    <xf numFmtId="3" fontId="5" fillId="0" borderId="0" xfId="0" quotePrefix="1" applyNumberFormat="1" applyFont="1" applyAlignment="1">
      <alignment horizontal="right"/>
    </xf>
    <xf numFmtId="165" fontId="5" fillId="0" borderId="0" xfId="0" applyNumberFormat="1" applyFont="1"/>
    <xf numFmtId="167" fontId="5" fillId="0" borderId="4" xfId="0" applyNumberFormat="1" applyFont="1" applyBorder="1" applyAlignment="1">
      <alignment horizontal="left"/>
    </xf>
    <xf numFmtId="3" fontId="5" fillId="0" borderId="4" xfId="0" applyNumberFormat="1" applyFont="1" applyBorder="1" applyAlignment="1">
      <alignment horizontal="center"/>
    </xf>
    <xf numFmtId="168" fontId="5" fillId="0" borderId="4" xfId="0" applyNumberFormat="1" applyFont="1" applyBorder="1" applyAlignment="1">
      <alignment horizontal="center"/>
    </xf>
    <xf numFmtId="167" fontId="5" fillId="0" borderId="0" xfId="0" applyNumberFormat="1" applyFont="1" applyAlignment="1">
      <alignment horizontal="left"/>
    </xf>
    <xf numFmtId="168" fontId="5" fillId="0" borderId="0" xfId="0" applyNumberFormat="1" applyFont="1" applyAlignment="1">
      <alignment horizontal="center"/>
    </xf>
    <xf numFmtId="165" fontId="7" fillId="0" borderId="0" xfId="0" applyNumberFormat="1" applyFont="1"/>
    <xf numFmtId="168" fontId="7" fillId="0" borderId="0" xfId="0" applyNumberFormat="1" applyFont="1" applyAlignment="1">
      <alignment horizontal="center"/>
    </xf>
    <xf numFmtId="169" fontId="7" fillId="0" borderId="0" xfId="0" applyNumberFormat="1" applyFont="1"/>
    <xf numFmtId="168" fontId="5" fillId="0" borderId="4" xfId="0" applyNumberFormat="1" applyFont="1" applyBorder="1"/>
    <xf numFmtId="168" fontId="7" fillId="0" borderId="0" xfId="0" applyNumberFormat="1" applyFont="1"/>
    <xf numFmtId="3" fontId="5" fillId="0" borderId="3" xfId="0" applyNumberFormat="1" applyFont="1" applyBorder="1" applyAlignment="1">
      <alignment horizontal="center"/>
    </xf>
    <xf numFmtId="0" fontId="11" fillId="0" borderId="58" xfId="0" applyFont="1" applyBorder="1" applyAlignment="1">
      <alignment horizontal="center"/>
    </xf>
    <xf numFmtId="0" fontId="14" fillId="0" borderId="6" xfId="0" applyFont="1" applyBorder="1" applyAlignment="1">
      <alignment horizontal="center"/>
    </xf>
    <xf numFmtId="3" fontId="11" fillId="0" borderId="6" xfId="0" applyNumberFormat="1" applyFont="1" applyBorder="1" applyAlignment="1">
      <alignment horizontal="center"/>
    </xf>
    <xf numFmtId="0" fontId="14" fillId="0" borderId="6" xfId="0" applyFont="1" applyBorder="1"/>
    <xf numFmtId="3" fontId="11" fillId="0" borderId="0" xfId="0" applyNumberFormat="1" applyFont="1"/>
    <xf numFmtId="10" fontId="7" fillId="0" borderId="0" xfId="15" applyNumberFormat="1" applyFont="1" applyFill="1"/>
    <xf numFmtId="0" fontId="14" fillId="0" borderId="5" xfId="0" applyFont="1" applyBorder="1"/>
    <xf numFmtId="3" fontId="11" fillId="0" borderId="5" xfId="0" applyNumberFormat="1" applyFont="1" applyBorder="1" applyAlignment="1">
      <alignment horizontal="center"/>
    </xf>
    <xf numFmtId="0" fontId="5" fillId="0" borderId="6" xfId="0" applyFont="1" applyBorder="1"/>
    <xf numFmtId="0" fontId="11" fillId="0" borderId="6" xfId="0" applyFont="1" applyBorder="1" applyAlignment="1">
      <alignment horizontal="left"/>
    </xf>
    <xf numFmtId="0" fontId="11" fillId="0" borderId="6" xfId="0" applyFont="1" applyBorder="1" applyAlignment="1">
      <alignment horizontal="center"/>
    </xf>
    <xf numFmtId="0" fontId="11" fillId="0" borderId="0" xfId="0" applyFont="1" applyAlignment="1">
      <alignment horizontal="left"/>
    </xf>
    <xf numFmtId="164" fontId="5" fillId="0" borderId="0" xfId="1" applyNumberFormat="1" applyFont="1" applyFill="1" applyBorder="1" applyAlignment="1">
      <alignment horizontal="center"/>
    </xf>
    <xf numFmtId="10" fontId="7" fillId="0" borderId="0" xfId="1" applyNumberFormat="1" applyFont="1" applyFill="1"/>
    <xf numFmtId="10" fontId="5" fillId="0" borderId="4" xfId="15" applyNumberFormat="1" applyFont="1" applyFill="1" applyBorder="1" applyAlignment="1"/>
    <xf numFmtId="10" fontId="5" fillId="0" borderId="43" xfId="15" applyNumberFormat="1" applyFont="1" applyFill="1" applyBorder="1" applyAlignment="1"/>
    <xf numFmtId="10" fontId="7" fillId="0" borderId="5" xfId="0" applyNumberFormat="1" applyFont="1" applyBorder="1" applyAlignment="1">
      <alignment horizontal="right"/>
    </xf>
    <xf numFmtId="3" fontId="5" fillId="0" borderId="4" xfId="0" applyNumberFormat="1" applyFont="1" applyBorder="1" applyAlignment="1">
      <alignment horizontal="right"/>
    </xf>
    <xf numFmtId="164" fontId="7" fillId="0" borderId="0" xfId="1" applyNumberFormat="1" applyFont="1" applyFill="1" applyAlignment="1"/>
    <xf numFmtId="10" fontId="7" fillId="0" borderId="5" xfId="15" applyNumberFormat="1" applyFont="1" applyFill="1" applyBorder="1" applyAlignment="1"/>
    <xf numFmtId="10" fontId="5" fillId="0" borderId="0" xfId="15" applyNumberFormat="1" applyFont="1" applyFill="1" applyAlignment="1"/>
    <xf numFmtId="3" fontId="11" fillId="0" borderId="59" xfId="0" applyNumberFormat="1" applyFont="1" applyBorder="1"/>
    <xf numFmtId="3" fontId="7" fillId="0" borderId="0" xfId="1" applyNumberFormat="1" applyFont="1" applyFill="1" applyAlignment="1"/>
    <xf numFmtId="3" fontId="5" fillId="0" borderId="0" xfId="1" applyNumberFormat="1" applyFont="1" applyFill="1" applyAlignment="1"/>
    <xf numFmtId="164" fontId="43" fillId="0" borderId="11" xfId="12" applyNumberFormat="1" applyFont="1" applyBorder="1"/>
    <xf numFmtId="164" fontId="43" fillId="0" borderId="26" xfId="12" applyNumberFormat="1" applyFont="1" applyBorder="1"/>
    <xf numFmtId="37" fontId="9" fillId="0" borderId="11" xfId="0" applyNumberFormat="1" applyFont="1" applyBorder="1" applyAlignment="1">
      <alignment horizontal="right" wrapText="1"/>
    </xf>
    <xf numFmtId="0" fontId="9" fillId="0" borderId="5" xfId="0" applyFont="1" applyBorder="1"/>
    <xf numFmtId="171" fontId="9" fillId="0" borderId="0" xfId="0" applyNumberFormat="1" applyFont="1" applyAlignment="1">
      <alignment horizontal="center" wrapText="1"/>
    </xf>
    <xf numFmtId="10" fontId="3" fillId="0" borderId="5" xfId="1" applyNumberFormat="1" applyFont="1" applyFill="1" applyBorder="1" applyAlignment="1">
      <alignment wrapText="1"/>
    </xf>
    <xf numFmtId="167" fontId="9" fillId="0" borderId="0" xfId="9" applyNumberFormat="1"/>
    <xf numFmtId="166" fontId="67" fillId="0" borderId="0" xfId="7" applyNumberFormat="1" applyFont="1" applyFill="1"/>
    <xf numFmtId="166" fontId="0" fillId="0" borderId="0" xfId="7" applyNumberFormat="1" applyFont="1" applyFill="1"/>
    <xf numFmtId="164" fontId="67" fillId="0" borderId="0" xfId="2" applyNumberFormat="1" applyFont="1" applyFill="1"/>
    <xf numFmtId="10" fontId="67" fillId="0" borderId="0" xfId="16" applyNumberFormat="1" applyFont="1" applyFill="1" applyAlignment="1">
      <alignment horizontal="center"/>
    </xf>
    <xf numFmtId="10" fontId="9" fillId="0" borderId="0" xfId="9" applyNumberFormat="1" applyAlignment="1">
      <alignment horizontal="center"/>
    </xf>
    <xf numFmtId="10" fontId="67" fillId="0" borderId="0" xfId="16" applyNumberFormat="1" applyFont="1" applyFill="1"/>
    <xf numFmtId="10" fontId="0" fillId="0" borderId="0" xfId="16" applyNumberFormat="1" applyFont="1" applyFill="1" applyAlignment="1">
      <alignment horizontal="center"/>
    </xf>
    <xf numFmtId="10" fontId="0" fillId="0" borderId="0" xfId="16" applyNumberFormat="1" applyFont="1" applyFill="1"/>
    <xf numFmtId="164" fontId="67" fillId="0" borderId="5" xfId="2" applyNumberFormat="1" applyFont="1" applyFill="1" applyBorder="1"/>
    <xf numFmtId="0" fontId="9" fillId="0" borderId="5" xfId="9" applyBorder="1" applyAlignment="1">
      <alignment horizontal="center"/>
    </xf>
    <xf numFmtId="10" fontId="67" fillId="0" borderId="5" xfId="16" applyNumberFormat="1" applyFont="1" applyFill="1" applyBorder="1" applyAlignment="1">
      <alignment horizontal="center"/>
    </xf>
    <xf numFmtId="10" fontId="67" fillId="0" borderId="5" xfId="16" applyNumberFormat="1" applyFont="1" applyFill="1" applyBorder="1"/>
    <xf numFmtId="164" fontId="9" fillId="0" borderId="11" xfId="9" applyNumberFormat="1" applyBorder="1"/>
    <xf numFmtId="10" fontId="0" fillId="0" borderId="11" xfId="16" applyNumberFormat="1" applyFont="1" applyFill="1" applyBorder="1" applyAlignment="1">
      <alignment horizontal="center"/>
    </xf>
    <xf numFmtId="10" fontId="9" fillId="0" borderId="11" xfId="9" applyNumberFormat="1" applyBorder="1"/>
    <xf numFmtId="10" fontId="7" fillId="0" borderId="7" xfId="0" applyNumberFormat="1" applyFont="1" applyBorder="1" applyAlignment="1">
      <alignment horizontal="center" wrapText="1"/>
    </xf>
    <xf numFmtId="10" fontId="7" fillId="0" borderId="61" xfId="0" applyNumberFormat="1" applyFont="1" applyBorder="1" applyAlignment="1">
      <alignment horizontal="center" wrapText="1"/>
    </xf>
    <xf numFmtId="38" fontId="67" fillId="0" borderId="0" xfId="1" applyNumberFormat="1" applyFont="1" applyFill="1"/>
    <xf numFmtId="164" fontId="67" fillId="0" borderId="0" xfId="1" applyNumberFormat="1" applyFont="1" applyFill="1"/>
    <xf numFmtId="164" fontId="67" fillId="0" borderId="11" xfId="1" applyNumberFormat="1" applyFont="1" applyFill="1" applyBorder="1"/>
    <xf numFmtId="164" fontId="0" fillId="0" borderId="0" xfId="1" applyNumberFormat="1" applyFont="1" applyFill="1" applyBorder="1"/>
    <xf numFmtId="164" fontId="67" fillId="0" borderId="11" xfId="2" applyNumberFormat="1" applyFont="1" applyFill="1" applyBorder="1"/>
    <xf numFmtId="0" fontId="24" fillId="0" borderId="0" xfId="9" applyFont="1" applyAlignment="1">
      <alignment horizontal="left"/>
    </xf>
    <xf numFmtId="38" fontId="67" fillId="0" borderId="0" xfId="2" applyNumberFormat="1" applyFont="1" applyFill="1"/>
    <xf numFmtId="38" fontId="9" fillId="0" borderId="0" xfId="9" applyNumberFormat="1"/>
    <xf numFmtId="38" fontId="9" fillId="0" borderId="11" xfId="9" applyNumberFormat="1" applyBorder="1"/>
    <xf numFmtId="164" fontId="67" fillId="0" borderId="0" xfId="2" applyNumberFormat="1" applyFont="1" applyFill="1" applyBorder="1"/>
    <xf numFmtId="0" fontId="22" fillId="0" borderId="0" xfId="9" applyFont="1"/>
    <xf numFmtId="164" fontId="0" fillId="0" borderId="11" xfId="2" applyNumberFormat="1" applyFont="1" applyFill="1" applyBorder="1"/>
    <xf numFmtId="10" fontId="4" fillId="0" borderId="11" xfId="16" applyNumberFormat="1" applyFont="1" applyFill="1" applyBorder="1" applyAlignment="1">
      <alignment horizontal="center"/>
    </xf>
    <xf numFmtId="0" fontId="9" fillId="0" borderId="0" xfId="9" applyAlignment="1">
      <alignment horizontal="left"/>
    </xf>
    <xf numFmtId="0" fontId="5" fillId="0" borderId="0" xfId="9" applyFont="1"/>
    <xf numFmtId="9" fontId="9" fillId="0" borderId="0" xfId="16" applyFont="1" applyFill="1"/>
    <xf numFmtId="0" fontId="62" fillId="0" borderId="0" xfId="9" applyFont="1" applyAlignment="1">
      <alignment vertical="top"/>
    </xf>
    <xf numFmtId="0" fontId="63" fillId="0" borderId="0" xfId="9" applyFont="1" applyAlignment="1">
      <alignment horizontal="center"/>
    </xf>
    <xf numFmtId="0" fontId="7" fillId="0" borderId="0" xfId="9" applyFont="1" applyAlignment="1">
      <alignment horizontal="center" vertical="center"/>
    </xf>
    <xf numFmtId="0" fontId="7" fillId="0" borderId="0" xfId="9" applyFont="1" applyAlignment="1">
      <alignment vertical="top"/>
    </xf>
    <xf numFmtId="2" fontId="7" fillId="0" borderId="0" xfId="9" quotePrefix="1" applyNumberFormat="1" applyFont="1" applyAlignment="1">
      <alignment horizontal="center"/>
    </xf>
    <xf numFmtId="43" fontId="11" fillId="0" borderId="59" xfId="1" applyFont="1" applyFill="1" applyBorder="1"/>
    <xf numFmtId="0" fontId="11" fillId="0" borderId="3" xfId="0" applyFont="1" applyBorder="1" applyAlignment="1">
      <alignment horizontal="center"/>
    </xf>
    <xf numFmtId="0" fontId="11" fillId="0" borderId="3" xfId="0" applyFont="1" applyBorder="1" applyAlignment="1">
      <alignment horizontal="left"/>
    </xf>
    <xf numFmtId="0" fontId="11" fillId="0" borderId="3" xfId="0" applyFont="1" applyBorder="1"/>
    <xf numFmtId="3" fontId="11" fillId="0" borderId="3" xfId="0" applyNumberFormat="1" applyFont="1" applyBorder="1"/>
    <xf numFmtId="10" fontId="9" fillId="5" borderId="5" xfId="16" applyNumberFormat="1" applyFont="1" applyFill="1" applyBorder="1" applyAlignment="1">
      <alignment horizontal="center"/>
    </xf>
    <xf numFmtId="164" fontId="68" fillId="0" borderId="0" xfId="2" applyNumberFormat="1" applyFont="1" applyFill="1"/>
    <xf numFmtId="0" fontId="76" fillId="0" borderId="0" xfId="0" applyFont="1"/>
    <xf numFmtId="0" fontId="77" fillId="0" borderId="4" xfId="0" applyFont="1" applyBorder="1"/>
    <xf numFmtId="164" fontId="78" fillId="0" borderId="0" xfId="1" applyNumberFormat="1" applyFont="1"/>
    <xf numFmtId="164" fontId="78" fillId="0" borderId="0" xfId="1" applyNumberFormat="1" applyFont="1" applyBorder="1"/>
    <xf numFmtId="164" fontId="78" fillId="0" borderId="0" xfId="1" applyNumberFormat="1" applyFont="1" applyBorder="1" applyAlignment="1">
      <alignment horizontal="left"/>
    </xf>
    <xf numFmtId="164" fontId="78" fillId="0" borderId="4" xfId="1" applyNumberFormat="1" applyFont="1" applyBorder="1"/>
    <xf numFmtId="164" fontId="76" fillId="0" borderId="0" xfId="0" applyNumberFormat="1" applyFont="1"/>
    <xf numFmtId="164" fontId="80" fillId="0" borderId="0" xfId="1" applyNumberFormat="1" applyFont="1"/>
    <xf numFmtId="164" fontId="80" fillId="0" borderId="0" xfId="1" applyNumberFormat="1" applyFont="1" applyAlignment="1">
      <alignment horizontal="left"/>
    </xf>
    <xf numFmtId="0" fontId="7" fillId="0" borderId="44" xfId="0" applyFont="1" applyBorder="1" applyAlignment="1">
      <alignment vertical="center" wrapText="1"/>
    </xf>
    <xf numFmtId="0" fontId="81" fillId="0" borderId="5" xfId="0" applyFont="1" applyBorder="1" applyAlignment="1">
      <alignment horizontal="center"/>
    </xf>
    <xf numFmtId="164" fontId="82" fillId="0" borderId="5" xfId="1" applyNumberFormat="1" applyFont="1" applyFill="1" applyBorder="1" applyAlignment="1">
      <alignment horizontal="center" wrapText="1"/>
    </xf>
    <xf numFmtId="0" fontId="82" fillId="0" borderId="0" xfId="0" applyFont="1" applyAlignment="1">
      <alignment horizontal="center"/>
    </xf>
    <xf numFmtId="0" fontId="82" fillId="0" borderId="0" xfId="0" applyFont="1" applyAlignment="1">
      <alignment horizontal="center" wrapText="1"/>
    </xf>
    <xf numFmtId="164" fontId="82" fillId="0" borderId="0" xfId="0" applyNumberFormat="1" applyFont="1" applyAlignment="1">
      <alignment horizontal="center" wrapText="1"/>
    </xf>
    <xf numFmtId="0" fontId="70" fillId="0" borderId="0" xfId="9" applyFont="1" applyAlignment="1">
      <alignment horizontal="center"/>
    </xf>
    <xf numFmtId="0" fontId="64" fillId="0" borderId="0" xfId="9" applyFont="1" applyAlignment="1">
      <alignment horizontal="center" vertical="center"/>
    </xf>
    <xf numFmtId="0" fontId="63" fillId="0" borderId="0" xfId="9" applyFont="1" applyAlignment="1">
      <alignment horizontal="left"/>
    </xf>
    <xf numFmtId="0" fontId="9" fillId="0" borderId="0" xfId="13" applyFont="1" applyAlignment="1">
      <alignment horizontal="center"/>
    </xf>
    <xf numFmtId="10" fontId="0" fillId="0" borderId="0" xfId="16" applyNumberFormat="1" applyFont="1" applyBorder="1" applyAlignment="1">
      <alignment horizontal="right"/>
    </xf>
    <xf numFmtId="0" fontId="9" fillId="0" borderId="0" xfId="13" applyFont="1"/>
    <xf numFmtId="0" fontId="0" fillId="0" borderId="0" xfId="0" applyAlignment="1">
      <alignment horizontal="right"/>
    </xf>
    <xf numFmtId="10" fontId="72" fillId="0" borderId="0" xfId="11" applyNumberFormat="1" applyFont="1" applyAlignment="1">
      <alignment horizontal="right"/>
    </xf>
    <xf numFmtId="10" fontId="0" fillId="0" borderId="0" xfId="0" applyNumberFormat="1" applyAlignment="1">
      <alignment horizontal="right"/>
    </xf>
    <xf numFmtId="0" fontId="74" fillId="0" borderId="0" xfId="24" applyFont="1" applyFill="1" applyBorder="1" applyAlignment="1" applyProtection="1">
      <alignment horizontal="right" vertical="top"/>
      <protection locked="0"/>
    </xf>
    <xf numFmtId="0" fontId="5" fillId="6" borderId="0" xfId="0" applyFont="1" applyFill="1" applyAlignment="1">
      <alignment horizontal="left"/>
    </xf>
    <xf numFmtId="0" fontId="5" fillId="6" borderId="0" xfId="0" applyFont="1" applyFill="1"/>
    <xf numFmtId="0" fontId="7" fillId="6" borderId="0" xfId="0" applyFont="1" applyFill="1"/>
    <xf numFmtId="0" fontId="13" fillId="6" borderId="0" xfId="0" applyFont="1" applyFill="1" applyAlignment="1">
      <alignment horizontal="center"/>
    </xf>
    <xf numFmtId="0" fontId="7" fillId="6" borderId="0" xfId="0" applyFont="1" applyFill="1" applyAlignment="1">
      <alignment horizontal="center" wrapText="1"/>
    </xf>
    <xf numFmtId="0" fontId="13" fillId="6" borderId="0" xfId="0" applyFont="1" applyFill="1" applyAlignment="1">
      <alignment horizontal="left"/>
    </xf>
    <xf numFmtId="0" fontId="13" fillId="6" borderId="0" xfId="0" applyFont="1" applyFill="1"/>
    <xf numFmtId="0" fontId="5" fillId="6" borderId="0" xfId="0" applyFont="1" applyFill="1" applyAlignment="1">
      <alignment horizontal="center"/>
    </xf>
    <xf numFmtId="164" fontId="78" fillId="5" borderId="0" xfId="1" applyNumberFormat="1" applyFont="1" applyFill="1"/>
    <xf numFmtId="0" fontId="77" fillId="5" borderId="0" xfId="0" applyFont="1" applyFill="1"/>
    <xf numFmtId="164" fontId="9" fillId="5" borderId="0" xfId="1" applyNumberFormat="1" applyFont="1" applyFill="1"/>
    <xf numFmtId="0" fontId="69" fillId="5" borderId="0" xfId="0" applyFont="1" applyFill="1"/>
    <xf numFmtId="0" fontId="86" fillId="0" borderId="0" xfId="0" applyFont="1" applyAlignment="1">
      <alignment horizontal="center"/>
    </xf>
    <xf numFmtId="0" fontId="3" fillId="0" borderId="0" xfId="0" applyFont="1"/>
    <xf numFmtId="0" fontId="83" fillId="0" borderId="0" xfId="9" applyFont="1" applyAlignment="1">
      <alignment horizontal="center" vertical="center"/>
    </xf>
    <xf numFmtId="0" fontId="3" fillId="0" borderId="0" xfId="9" applyFont="1"/>
    <xf numFmtId="10" fontId="3" fillId="0" borderId="0" xfId="16" applyNumberFormat="1" applyFont="1" applyFill="1" applyBorder="1" applyAlignment="1">
      <alignment horizontal="right"/>
    </xf>
    <xf numFmtId="0" fontId="3" fillId="0" borderId="0" xfId="0" applyFont="1" applyAlignment="1">
      <alignment horizontal="right"/>
    </xf>
    <xf numFmtId="10" fontId="3" fillId="0" borderId="0" xfId="0" applyNumberFormat="1" applyFont="1" applyAlignment="1">
      <alignment horizontal="right"/>
    </xf>
    <xf numFmtId="37" fontId="7" fillId="0" borderId="60" xfId="0" applyNumberFormat="1" applyFont="1" applyBorder="1"/>
    <xf numFmtId="38" fontId="7" fillId="0" borderId="24" xfId="0" applyNumberFormat="1" applyFont="1" applyBorder="1" applyAlignment="1">
      <alignment horizontal="right"/>
    </xf>
    <xf numFmtId="38" fontId="7" fillId="0" borderId="61" xfId="0" applyNumberFormat="1" applyFont="1" applyBorder="1" applyAlignment="1">
      <alignment horizontal="right"/>
    </xf>
    <xf numFmtId="0" fontId="3" fillId="0" borderId="1" xfId="0" applyFont="1" applyBorder="1"/>
    <xf numFmtId="38" fontId="7" fillId="0" borderId="1" xfId="0" applyNumberFormat="1" applyFont="1" applyBorder="1" applyAlignment="1">
      <alignment horizontal="center"/>
    </xf>
    <xf numFmtId="164" fontId="3" fillId="0" borderId="0" xfId="1" applyNumberFormat="1" applyFont="1" applyFill="1" applyAlignment="1"/>
    <xf numFmtId="164" fontId="3" fillId="0" borderId="11" xfId="1" applyNumberFormat="1" applyFont="1" applyFill="1" applyBorder="1" applyAlignment="1"/>
    <xf numFmtId="0" fontId="3" fillId="0" borderId="0" xfId="0" applyFont="1" applyAlignment="1">
      <alignment horizontal="center"/>
    </xf>
    <xf numFmtId="164" fontId="3" fillId="0" borderId="0" xfId="1" applyNumberFormat="1" applyFont="1" applyFill="1" applyBorder="1" applyAlignment="1"/>
    <xf numFmtId="0" fontId="3" fillId="0" borderId="0" xfId="0" applyFont="1" applyAlignment="1">
      <alignment horizontal="center" vertical="top"/>
    </xf>
    <xf numFmtId="0" fontId="3" fillId="0" borderId="0" xfId="0" applyFont="1" applyAlignment="1">
      <alignment horizontal="left"/>
    </xf>
    <xf numFmtId="0" fontId="87" fillId="0" borderId="0" xfId="0" applyFont="1"/>
    <xf numFmtId="0" fontId="87" fillId="0" borderId="0" xfId="0" applyFont="1" applyAlignment="1">
      <alignment horizontal="center"/>
    </xf>
    <xf numFmtId="0" fontId="7" fillId="0" borderId="13" xfId="0" applyFont="1" applyBorder="1"/>
    <xf numFmtId="0" fontId="7" fillId="0" borderId="48" xfId="0" applyFont="1" applyBorder="1" applyAlignment="1">
      <alignment horizontal="left"/>
    </xf>
    <xf numFmtId="0" fontId="7" fillId="0" borderId="46" xfId="0" applyFont="1" applyBorder="1" applyAlignment="1">
      <alignment horizontal="center"/>
    </xf>
    <xf numFmtId="0" fontId="7" fillId="0" borderId="47" xfId="0" applyFont="1" applyBorder="1"/>
    <xf numFmtId="0" fontId="64" fillId="0" borderId="0" xfId="0" applyFont="1" applyAlignment="1">
      <alignment horizontal="center"/>
    </xf>
    <xf numFmtId="0" fontId="5" fillId="0" borderId="72" xfId="0" applyFont="1" applyBorder="1" applyAlignment="1">
      <alignment horizontal="left" vertical="top"/>
    </xf>
    <xf numFmtId="0" fontId="5" fillId="0" borderId="63" xfId="0" applyFont="1" applyBorder="1" applyAlignment="1">
      <alignment horizontal="center" vertical="top"/>
    </xf>
    <xf numFmtId="0" fontId="7" fillId="0" borderId="63" xfId="0" applyFont="1" applyBorder="1"/>
    <xf numFmtId="0" fontId="7" fillId="0" borderId="73" xfId="0" applyFont="1" applyBorder="1"/>
    <xf numFmtId="0" fontId="7" fillId="0" borderId="0" xfId="0" applyFont="1" applyAlignment="1">
      <alignment vertical="top"/>
    </xf>
    <xf numFmtId="0" fontId="5" fillId="0" borderId="0" xfId="0" applyFont="1" applyAlignment="1">
      <alignment horizontal="left" vertical="top"/>
    </xf>
    <xf numFmtId="0" fontId="5" fillId="0" borderId="27" xfId="0" applyFont="1" applyBorder="1" applyAlignment="1">
      <alignment vertical="center"/>
    </xf>
    <xf numFmtId="0" fontId="7" fillId="0" borderId="56" xfId="0" applyFont="1" applyBorder="1" applyAlignment="1">
      <alignment vertical="center"/>
    </xf>
    <xf numFmtId="164" fontId="7" fillId="0" borderId="71" xfId="1" applyNumberFormat="1" applyFont="1" applyBorder="1"/>
    <xf numFmtId="0" fontId="64" fillId="0" borderId="0" xfId="0" applyFont="1"/>
    <xf numFmtId="0" fontId="7" fillId="0" borderId="7" xfId="0" applyFont="1" applyBorder="1" applyAlignment="1">
      <alignment horizontal="left" vertical="top"/>
    </xf>
    <xf numFmtId="0" fontId="7" fillId="0" borderId="80" xfId="0" applyFont="1" applyBorder="1" applyAlignment="1">
      <alignment horizontal="center" vertical="top"/>
    </xf>
    <xf numFmtId="10" fontId="7" fillId="0" borderId="57" xfId="0" applyNumberFormat="1" applyFont="1" applyBorder="1" applyAlignment="1">
      <alignment vertical="top"/>
    </xf>
    <xf numFmtId="14" fontId="7" fillId="0" borderId="0" xfId="0" applyNumberFormat="1" applyFont="1" applyAlignment="1">
      <alignment horizontal="left"/>
    </xf>
    <xf numFmtId="164" fontId="7" fillId="0" borderId="0" xfId="1" applyNumberFormat="1" applyFont="1" applyBorder="1" applyAlignment="1">
      <alignment vertical="top"/>
    </xf>
    <xf numFmtId="3" fontId="7" fillId="0" borderId="0" xfId="1" applyNumberFormat="1" applyFont="1" applyBorder="1" applyAlignment="1">
      <alignment vertical="top"/>
    </xf>
    <xf numFmtId="164" fontId="7" fillId="0" borderId="0" xfId="1" applyNumberFormat="1" applyFont="1" applyBorder="1"/>
    <xf numFmtId="164" fontId="7" fillId="0" borderId="0" xfId="1" applyNumberFormat="1" applyFont="1" applyFill="1" applyBorder="1" applyAlignment="1">
      <alignment vertical="top"/>
    </xf>
    <xf numFmtId="0" fontId="7" fillId="0" borderId="0" xfId="0" applyFont="1" applyAlignment="1">
      <alignment horizontal="center" vertical="top"/>
    </xf>
    <xf numFmtId="0" fontId="7" fillId="5" borderId="7" xfId="0" applyFont="1" applyFill="1" applyBorder="1" applyAlignment="1">
      <alignment horizontal="center"/>
    </xf>
    <xf numFmtId="0" fontId="7" fillId="5" borderId="42" xfId="0" applyFont="1" applyFill="1" applyBorder="1" applyAlignment="1">
      <alignment horizontal="center"/>
    </xf>
    <xf numFmtId="0" fontId="7" fillId="5" borderId="16" xfId="0" applyFont="1" applyFill="1" applyBorder="1" applyAlignment="1">
      <alignment vertical="top"/>
    </xf>
    <xf numFmtId="164" fontId="7" fillId="5" borderId="42" xfId="1" applyNumberFormat="1" applyFont="1" applyFill="1" applyBorder="1"/>
    <xf numFmtId="0" fontId="7" fillId="5" borderId="0" xfId="0" applyFont="1" applyFill="1" applyAlignment="1">
      <alignment horizontal="center"/>
    </xf>
    <xf numFmtId="0" fontId="7" fillId="5" borderId="0" xfId="0" applyFont="1" applyFill="1"/>
    <xf numFmtId="0" fontId="7" fillId="5" borderId="0" xfId="0" applyFont="1" applyFill="1" applyAlignment="1">
      <alignment vertical="top"/>
    </xf>
    <xf numFmtId="0" fontId="7" fillId="5" borderId="15" xfId="0" applyFont="1" applyFill="1" applyBorder="1" applyAlignment="1">
      <alignment vertical="top"/>
    </xf>
    <xf numFmtId="0" fontId="7" fillId="5" borderId="44" xfId="0" applyFont="1" applyFill="1" applyBorder="1" applyAlignment="1">
      <alignment horizontal="center"/>
    </xf>
    <xf numFmtId="14" fontId="7" fillId="0" borderId="0" xfId="0" applyNumberFormat="1" applyFont="1" applyAlignment="1">
      <alignment horizontal="center"/>
    </xf>
    <xf numFmtId="0" fontId="7" fillId="5" borderId="27" xfId="0" applyFont="1" applyFill="1" applyBorder="1"/>
    <xf numFmtId="0" fontId="7" fillId="5" borderId="71" xfId="0" applyFont="1" applyFill="1" applyBorder="1"/>
    <xf numFmtId="0" fontId="7" fillId="5" borderId="56" xfId="0" applyFont="1" applyFill="1" applyBorder="1"/>
    <xf numFmtId="37" fontId="7" fillId="5" borderId="71" xfId="0" applyNumberFormat="1" applyFont="1" applyFill="1" applyBorder="1"/>
    <xf numFmtId="0" fontId="7" fillId="5" borderId="7" xfId="0" applyFont="1" applyFill="1" applyBorder="1"/>
    <xf numFmtId="0" fontId="7" fillId="5" borderId="42" xfId="0" applyFont="1" applyFill="1" applyBorder="1"/>
    <xf numFmtId="37" fontId="7" fillId="5" borderId="42" xfId="0" applyNumberFormat="1" applyFont="1" applyFill="1" applyBorder="1"/>
    <xf numFmtId="0" fontId="7" fillId="5" borderId="44" xfId="0" applyFont="1" applyFill="1" applyBorder="1"/>
    <xf numFmtId="0" fontId="7" fillId="0" borderId="7" xfId="0" applyFont="1" applyBorder="1" applyAlignment="1">
      <alignment vertical="top"/>
    </xf>
    <xf numFmtId="14" fontId="78" fillId="0" borderId="0" xfId="0" applyNumberFormat="1" applyFont="1" applyAlignment="1">
      <alignment horizontal="center" vertical="top"/>
    </xf>
    <xf numFmtId="0" fontId="78" fillId="0" borderId="0" xfId="0" applyFont="1" applyAlignment="1">
      <alignment horizontal="center" vertical="top"/>
    </xf>
    <xf numFmtId="9" fontId="7" fillId="0" borderId="10" xfId="0" applyNumberFormat="1" applyFont="1" applyBorder="1" applyAlignment="1">
      <alignment vertical="top"/>
    </xf>
    <xf numFmtId="0" fontId="7" fillId="0" borderId="56" xfId="0" applyFont="1" applyBorder="1" applyAlignment="1">
      <alignment vertical="top"/>
    </xf>
    <xf numFmtId="0" fontId="5" fillId="0" borderId="7" xfId="0" applyFont="1" applyBorder="1" applyAlignment="1">
      <alignment vertical="top"/>
    </xf>
    <xf numFmtId="0" fontId="7" fillId="0" borderId="8" xfId="0" applyFont="1" applyBorder="1" applyAlignment="1">
      <alignment vertical="top"/>
    </xf>
    <xf numFmtId="0" fontId="7" fillId="0" borderId="1" xfId="0" applyFont="1" applyBorder="1" applyAlignment="1">
      <alignment vertical="top"/>
    </xf>
    <xf numFmtId="14" fontId="78" fillId="0" borderId="1" xfId="0" applyNumberFormat="1" applyFont="1" applyBorder="1" applyAlignment="1">
      <alignment horizontal="center" vertical="top"/>
    </xf>
    <xf numFmtId="0" fontId="78" fillId="0" borderId="1" xfId="0" applyFont="1" applyBorder="1" applyAlignment="1">
      <alignment horizontal="center" vertical="top"/>
    </xf>
    <xf numFmtId="10" fontId="7" fillId="5" borderId="10" xfId="15" applyNumberFormat="1" applyFont="1" applyFill="1" applyBorder="1" applyAlignment="1">
      <alignment vertical="top"/>
    </xf>
    <xf numFmtId="0" fontId="7" fillId="0" borderId="0" xfId="0" quotePrefix="1" applyFont="1"/>
    <xf numFmtId="44" fontId="7" fillId="0" borderId="10" xfId="6" applyFont="1" applyFill="1" applyBorder="1" applyAlignment="1">
      <alignment vertical="top"/>
    </xf>
    <xf numFmtId="9" fontId="7" fillId="0" borderId="10" xfId="15" applyFont="1" applyFill="1" applyBorder="1" applyAlignment="1">
      <alignment vertical="top"/>
    </xf>
    <xf numFmtId="44" fontId="7" fillId="5" borderId="10" xfId="6" applyFont="1" applyFill="1" applyBorder="1" applyAlignment="1">
      <alignment vertical="top"/>
    </xf>
    <xf numFmtId="44" fontId="7" fillId="5" borderId="57" xfId="6" applyFont="1" applyFill="1" applyBorder="1" applyAlignment="1">
      <alignment vertical="top"/>
    </xf>
    <xf numFmtId="10" fontId="7" fillId="0" borderId="10" xfId="15" applyNumberFormat="1" applyFont="1" applyFill="1" applyBorder="1" applyAlignment="1">
      <alignment vertical="top"/>
    </xf>
    <xf numFmtId="44" fontId="7" fillId="0" borderId="9" xfId="6" applyFont="1" applyFill="1" applyBorder="1" applyAlignment="1">
      <alignment vertical="top"/>
    </xf>
    <xf numFmtId="37" fontId="7" fillId="5" borderId="44" xfId="0" applyNumberFormat="1" applyFont="1" applyFill="1" applyBorder="1" applyProtection="1">
      <protection locked="0"/>
    </xf>
    <xf numFmtId="0" fontId="7" fillId="5" borderId="11" xfId="0" applyFont="1" applyFill="1" applyBorder="1"/>
    <xf numFmtId="171" fontId="7" fillId="0" borderId="0" xfId="15" applyNumberFormat="1" applyFont="1" applyFill="1"/>
    <xf numFmtId="10" fontId="7" fillId="0" borderId="10" xfId="0" applyNumberFormat="1" applyFont="1" applyBorder="1" applyAlignment="1">
      <alignment vertical="top"/>
    </xf>
    <xf numFmtId="44" fontId="7" fillId="0" borderId="62" xfId="6" applyFont="1" applyBorder="1"/>
    <xf numFmtId="44" fontId="7" fillId="0" borderId="76" xfId="6" applyFont="1" applyBorder="1"/>
    <xf numFmtId="44" fontId="7" fillId="0" borderId="77" xfId="6" applyFont="1" applyBorder="1"/>
    <xf numFmtId="44" fontId="7" fillId="0" borderId="9" xfId="6" applyFont="1" applyBorder="1"/>
    <xf numFmtId="44" fontId="7" fillId="0" borderId="63" xfId="6" applyFont="1" applyBorder="1"/>
    <xf numFmtId="44" fontId="7" fillId="0" borderId="62" xfId="6" applyFont="1" applyFill="1" applyBorder="1"/>
    <xf numFmtId="44" fontId="7" fillId="0" borderId="76" xfId="6" applyFont="1" applyFill="1" applyBorder="1"/>
    <xf numFmtId="44" fontId="7" fillId="5" borderId="71" xfId="6" applyFont="1" applyFill="1" applyBorder="1" applyAlignment="1">
      <alignment vertical="top"/>
    </xf>
    <xf numFmtId="44" fontId="7" fillId="5" borderId="71" xfId="6" applyFont="1" applyFill="1" applyBorder="1"/>
    <xf numFmtId="44" fontId="7" fillId="5" borderId="42" xfId="6" applyFont="1" applyFill="1" applyBorder="1" applyAlignment="1">
      <alignment vertical="top"/>
    </xf>
    <xf numFmtId="44" fontId="7" fillId="5" borderId="42" xfId="6" applyFont="1" applyFill="1" applyBorder="1"/>
    <xf numFmtId="164" fontId="82" fillId="5" borderId="5" xfId="1" applyNumberFormat="1" applyFont="1" applyFill="1" applyBorder="1" applyAlignment="1">
      <alignment horizontal="center" wrapText="1"/>
    </xf>
    <xf numFmtId="14" fontId="7" fillId="5" borderId="16" xfId="0" applyNumberFormat="1" applyFont="1" applyFill="1" applyBorder="1" applyAlignment="1">
      <alignment vertical="top"/>
    </xf>
    <xf numFmtId="0" fontId="7" fillId="5" borderId="71" xfId="0" applyFont="1" applyFill="1" applyBorder="1" applyAlignment="1">
      <alignment horizontal="center"/>
    </xf>
    <xf numFmtId="14" fontId="7" fillId="5" borderId="74" xfId="0" applyNumberFormat="1" applyFont="1" applyFill="1" applyBorder="1" applyAlignment="1">
      <alignment vertical="top"/>
    </xf>
    <xf numFmtId="44" fontId="7" fillId="5" borderId="56" xfId="6" applyFont="1" applyFill="1" applyBorder="1" applyAlignment="1">
      <alignment vertical="top"/>
    </xf>
    <xf numFmtId="44" fontId="7" fillId="5" borderId="0" xfId="6" applyFont="1" applyFill="1" applyBorder="1"/>
    <xf numFmtId="37" fontId="7" fillId="5" borderId="0" xfId="0" applyNumberFormat="1" applyFont="1" applyFill="1"/>
    <xf numFmtId="44" fontId="7" fillId="5" borderId="57" xfId="0" applyNumberFormat="1" applyFont="1" applyFill="1" applyBorder="1"/>
    <xf numFmtId="0" fontId="7" fillId="5" borderId="10" xfId="0" applyFont="1" applyFill="1" applyBorder="1"/>
    <xf numFmtId="37" fontId="7" fillId="0" borderId="75" xfId="1" applyNumberFormat="1" applyFont="1" applyBorder="1"/>
    <xf numFmtId="44" fontId="7" fillId="0" borderId="81" xfId="6" applyFont="1" applyBorder="1"/>
    <xf numFmtId="0" fontId="7" fillId="0" borderId="75" xfId="0" applyFont="1" applyBorder="1"/>
    <xf numFmtId="37" fontId="7" fillId="5" borderId="56" xfId="0" applyNumberFormat="1" applyFont="1" applyFill="1" applyBorder="1"/>
    <xf numFmtId="0" fontId="7" fillId="5" borderId="74" xfId="0" applyFont="1" applyFill="1" applyBorder="1"/>
    <xf numFmtId="0" fontId="7" fillId="5" borderId="82" xfId="0" applyFont="1" applyFill="1" applyBorder="1"/>
    <xf numFmtId="0" fontId="7" fillId="5" borderId="16" xfId="0" applyFont="1" applyFill="1" applyBorder="1"/>
    <xf numFmtId="0" fontId="7" fillId="5" borderId="83" xfId="0" applyFont="1" applyFill="1" applyBorder="1"/>
    <xf numFmtId="0" fontId="7" fillId="5" borderId="14" xfId="0" applyFont="1" applyFill="1" applyBorder="1"/>
    <xf numFmtId="0" fontId="7" fillId="5" borderId="84" xfId="0" applyFont="1" applyFill="1" applyBorder="1"/>
    <xf numFmtId="44" fontId="7" fillId="0" borderId="85" xfId="6" applyFont="1" applyFill="1" applyBorder="1"/>
    <xf numFmtId="44" fontId="7" fillId="0" borderId="85" xfId="6" applyFont="1" applyBorder="1"/>
    <xf numFmtId="0" fontId="7" fillId="0" borderId="24" xfId="0" applyFont="1" applyBorder="1" applyAlignment="1">
      <alignment vertical="top" wrapText="1"/>
    </xf>
    <xf numFmtId="0" fontId="7" fillId="0" borderId="24" xfId="0" applyFont="1" applyBorder="1" applyAlignment="1">
      <alignment horizontal="center" vertical="center" wrapText="1"/>
    </xf>
    <xf numFmtId="0" fontId="7" fillId="0" borderId="24" xfId="0" applyFont="1" applyBorder="1" applyAlignment="1">
      <alignment horizontal="center" vertical="top" wrapText="1"/>
    </xf>
    <xf numFmtId="0" fontId="7" fillId="0" borderId="61" xfId="0" applyFont="1" applyBorder="1" applyAlignment="1">
      <alignment horizontal="center" vertical="top" wrapText="1"/>
    </xf>
    <xf numFmtId="0" fontId="7" fillId="0" borderId="0" xfId="0" applyFont="1" applyAlignment="1">
      <alignment horizontal="center" vertical="top" wrapText="1"/>
    </xf>
    <xf numFmtId="0" fontId="7" fillId="0" borderId="26" xfId="0" applyFont="1" applyBorder="1" applyAlignment="1">
      <alignment horizontal="center" vertical="center" wrapText="1"/>
    </xf>
    <xf numFmtId="10" fontId="7" fillId="0" borderId="0" xfId="0" applyNumberFormat="1" applyFont="1" applyAlignment="1">
      <alignment vertical="top"/>
    </xf>
    <xf numFmtId="9" fontId="7" fillId="0" borderId="0" xfId="15" applyFont="1" applyFill="1" applyBorder="1" applyAlignment="1">
      <alignment vertical="top"/>
    </xf>
    <xf numFmtId="9" fontId="7" fillId="0" borderId="0" xfId="0" applyNumberFormat="1" applyFont="1" applyAlignment="1">
      <alignment vertical="top"/>
    </xf>
    <xf numFmtId="10" fontId="7" fillId="0" borderId="0" xfId="15" applyNumberFormat="1" applyFont="1" applyFill="1" applyBorder="1" applyAlignment="1">
      <alignment vertical="top"/>
    </xf>
    <xf numFmtId="37" fontId="7" fillId="5" borderId="44" xfId="0" applyNumberFormat="1" applyFont="1" applyFill="1" applyBorder="1"/>
    <xf numFmtId="0" fontId="25" fillId="0" borderId="0" xfId="0" applyFont="1"/>
    <xf numFmtId="0" fontId="90" fillId="0" borderId="0" xfId="0" applyFont="1"/>
    <xf numFmtId="0" fontId="91" fillId="0" borderId="0" xfId="0" applyFont="1"/>
    <xf numFmtId="43" fontId="88" fillId="5" borderId="0" xfId="1" applyFont="1" applyFill="1" applyAlignment="1"/>
    <xf numFmtId="43" fontId="5" fillId="5" borderId="0" xfId="1" applyFont="1" applyFill="1" applyAlignment="1"/>
    <xf numFmtId="0" fontId="45" fillId="0" borderId="0" xfId="12" applyFont="1" applyAlignment="1">
      <alignment vertical="top" wrapText="1"/>
    </xf>
    <xf numFmtId="0" fontId="43" fillId="0" borderId="0" xfId="12" applyFont="1" applyAlignment="1" applyProtection="1">
      <alignment horizontal="left" vertical="center" wrapText="1"/>
      <protection locked="0"/>
    </xf>
    <xf numFmtId="37" fontId="7" fillId="5" borderId="11" xfId="9" applyNumberFormat="1" applyFont="1" applyFill="1" applyBorder="1" applyProtection="1">
      <protection locked="0"/>
    </xf>
    <xf numFmtId="43" fontId="7" fillId="5" borderId="11" xfId="1" applyFont="1" applyFill="1" applyBorder="1"/>
    <xf numFmtId="164" fontId="7" fillId="5" borderId="11" xfId="1" applyNumberFormat="1" applyFont="1" applyFill="1" applyBorder="1"/>
    <xf numFmtId="37" fontId="7" fillId="5" borderId="11" xfId="0" applyNumberFormat="1" applyFont="1" applyFill="1" applyBorder="1" applyAlignment="1" applyProtection="1">
      <alignment vertical="center"/>
      <protection locked="0"/>
    </xf>
    <xf numFmtId="37" fontId="7" fillId="5" borderId="62" xfId="0" applyNumberFormat="1" applyFont="1" applyFill="1" applyBorder="1" applyAlignment="1" applyProtection="1">
      <alignment vertical="center"/>
      <protection locked="0"/>
    </xf>
    <xf numFmtId="0" fontId="64" fillId="8" borderId="0" xfId="9" applyFont="1" applyFill="1" applyAlignment="1">
      <alignment horizontal="center" vertical="center"/>
    </xf>
    <xf numFmtId="0" fontId="85" fillId="5" borderId="0" xfId="0" applyFont="1" applyFill="1"/>
    <xf numFmtId="43" fontId="0" fillId="0" borderId="0" xfId="1" applyFont="1" applyFill="1"/>
    <xf numFmtId="43" fontId="78" fillId="0" borderId="0" xfId="1" applyFont="1"/>
    <xf numFmtId="43" fontId="80" fillId="0" borderId="0" xfId="1" applyFont="1"/>
    <xf numFmtId="43" fontId="76" fillId="0" borderId="0" xfId="0" applyNumberFormat="1" applyFont="1"/>
    <xf numFmtId="0" fontId="44" fillId="0" borderId="0" xfId="12" applyFont="1" applyAlignment="1">
      <alignment horizontal="center" vertical="top"/>
    </xf>
    <xf numFmtId="0" fontId="7" fillId="0" borderId="44" xfId="0" applyFont="1" applyBorder="1" applyAlignment="1">
      <alignment horizontal="left" vertical="center" wrapText="1"/>
    </xf>
    <xf numFmtId="0" fontId="7" fillId="0" borderId="36" xfId="0" applyFont="1" applyBorder="1" applyAlignment="1">
      <alignment vertical="center" wrapText="1"/>
    </xf>
    <xf numFmtId="0" fontId="89" fillId="0" borderId="44" xfId="0" applyFont="1" applyBorder="1" applyAlignment="1">
      <alignment horizontal="left" vertical="center" wrapText="1"/>
    </xf>
    <xf numFmtId="0" fontId="93" fillId="0" borderId="0" xfId="0" applyFont="1" applyAlignment="1">
      <alignment vertical="top" wrapText="1"/>
    </xf>
    <xf numFmtId="0" fontId="7" fillId="0" borderId="0" xfId="0" applyFont="1" applyAlignment="1">
      <alignment horizontal="left" vertical="top"/>
    </xf>
    <xf numFmtId="0" fontId="5" fillId="0" borderId="33" xfId="0" applyFont="1" applyBorder="1" applyAlignment="1">
      <alignment horizontal="center"/>
    </xf>
    <xf numFmtId="164" fontId="43" fillId="0" borderId="0" xfId="12" applyNumberFormat="1" applyFont="1" applyAlignment="1">
      <alignment horizontal="center"/>
    </xf>
    <xf numFmtId="0" fontId="7" fillId="0" borderId="31" xfId="0" applyFont="1" applyBorder="1" applyAlignment="1">
      <alignment horizontal="left" vertical="top"/>
    </xf>
    <xf numFmtId="0" fontId="7" fillId="0" borderId="5" xfId="0" applyFont="1" applyBorder="1" applyAlignment="1">
      <alignment horizontal="left" vertical="top" wrapText="1"/>
    </xf>
    <xf numFmtId="0" fontId="7" fillId="0" borderId="30" xfId="0" applyFont="1" applyBorder="1" applyAlignment="1">
      <alignment horizontal="left" vertical="center" wrapText="1"/>
    </xf>
    <xf numFmtId="0" fontId="93" fillId="0" borderId="0" xfId="9" applyFont="1"/>
    <xf numFmtId="0" fontId="3" fillId="0" borderId="0" xfId="0" quotePrefix="1" applyFont="1" applyAlignment="1">
      <alignment horizontal="center"/>
    </xf>
    <xf numFmtId="16" fontId="3" fillId="0" borderId="0" xfId="0" quotePrefix="1" applyNumberFormat="1" applyFont="1" applyAlignment="1">
      <alignment horizontal="center"/>
    </xf>
    <xf numFmtId="0" fontId="7" fillId="0" borderId="44" xfId="0" applyFont="1" applyBorder="1" applyAlignment="1">
      <alignment horizontal="left"/>
    </xf>
    <xf numFmtId="0" fontId="7" fillId="0" borderId="14" xfId="0" applyFont="1" applyBorder="1" applyAlignment="1">
      <alignment horizontal="left"/>
    </xf>
    <xf numFmtId="0" fontId="7" fillId="5" borderId="11" xfId="0" applyFont="1" applyFill="1" applyBorder="1" applyAlignment="1">
      <alignment horizontal="left"/>
    </xf>
    <xf numFmtId="0" fontId="7" fillId="5" borderId="30" xfId="0" applyFont="1" applyFill="1" applyBorder="1" applyAlignment="1">
      <alignment horizontal="left"/>
    </xf>
    <xf numFmtId="0" fontId="7" fillId="5" borderId="5" xfId="0" applyFont="1" applyFill="1" applyBorder="1" applyAlignment="1">
      <alignment horizontal="left" vertical="center"/>
    </xf>
    <xf numFmtId="0" fontId="7" fillId="5" borderId="44" xfId="0" applyFont="1" applyFill="1" applyBorder="1" applyAlignment="1">
      <alignment horizontal="left"/>
    </xf>
    <xf numFmtId="0" fontId="7" fillId="5" borderId="41" xfId="0" applyFont="1" applyFill="1" applyBorder="1" applyAlignment="1">
      <alignment horizontal="left"/>
    </xf>
    <xf numFmtId="0" fontId="7" fillId="5" borderId="39" xfId="0" applyFont="1" applyFill="1" applyBorder="1" applyAlignment="1">
      <alignment horizontal="left"/>
    </xf>
    <xf numFmtId="0" fontId="7" fillId="0" borderId="86" xfId="0" applyFont="1" applyBorder="1" applyAlignment="1">
      <alignment horizontal="center"/>
    </xf>
    <xf numFmtId="0" fontId="7" fillId="0" borderId="87" xfId="0" applyFont="1" applyBorder="1" applyAlignment="1">
      <alignment horizontal="left"/>
    </xf>
    <xf numFmtId="38" fontId="7" fillId="5" borderId="11" xfId="9" applyNumberFormat="1" applyFont="1" applyFill="1" applyBorder="1" applyProtection="1">
      <protection locked="0"/>
    </xf>
    <xf numFmtId="0" fontId="7" fillId="5" borderId="62" xfId="0" applyFont="1" applyFill="1" applyBorder="1"/>
    <xf numFmtId="38" fontId="7" fillId="5" borderId="62" xfId="9" applyNumberFormat="1" applyFont="1" applyFill="1" applyBorder="1" applyProtection="1">
      <protection locked="0"/>
    </xf>
    <xf numFmtId="0" fontId="7" fillId="5" borderId="87" xfId="0" applyFont="1" applyFill="1" applyBorder="1" applyAlignment="1">
      <alignment horizontal="left"/>
    </xf>
    <xf numFmtId="0" fontId="7" fillId="0" borderId="5" xfId="0" applyFont="1" applyBorder="1" applyAlignment="1">
      <alignment horizontal="left" vertical="center"/>
    </xf>
    <xf numFmtId="9" fontId="7" fillId="5" borderId="88" xfId="0" applyNumberFormat="1" applyFont="1" applyFill="1" applyBorder="1" applyAlignment="1" applyProtection="1">
      <alignment horizontal="right"/>
      <protection locked="0"/>
    </xf>
    <xf numFmtId="0" fontId="7" fillId="0" borderId="41" xfId="0" applyFont="1" applyBorder="1" applyAlignment="1">
      <alignment horizontal="left"/>
    </xf>
    <xf numFmtId="10" fontId="7" fillId="5" borderId="11" xfId="0" applyNumberFormat="1" applyFont="1" applyFill="1" applyBorder="1" applyAlignment="1" applyProtection="1">
      <alignment horizontal="right"/>
      <protection locked="0"/>
    </xf>
    <xf numFmtId="0" fontId="7" fillId="0" borderId="12" xfId="0" applyFont="1" applyBorder="1" applyAlignment="1">
      <alignment horizontal="left" vertical="center"/>
    </xf>
    <xf numFmtId="49" fontId="7" fillId="0" borderId="11" xfId="0" applyNumberFormat="1" applyFont="1" applyBorder="1" applyAlignment="1">
      <alignment vertical="center"/>
    </xf>
    <xf numFmtId="10" fontId="7" fillId="5" borderId="44" xfId="0" applyNumberFormat="1" applyFont="1" applyFill="1" applyBorder="1" applyAlignment="1" applyProtection="1">
      <alignment horizontal="right"/>
      <protection locked="0"/>
    </xf>
    <xf numFmtId="10" fontId="7" fillId="5" borderId="62" xfId="0" applyNumberFormat="1" applyFont="1" applyFill="1" applyBorder="1" applyAlignment="1" applyProtection="1">
      <alignment horizontal="right"/>
      <protection locked="0"/>
    </xf>
    <xf numFmtId="0" fontId="7" fillId="0" borderId="0" xfId="0" applyFont="1" applyAlignment="1">
      <alignment wrapText="1"/>
    </xf>
    <xf numFmtId="3" fontId="7" fillId="0" borderId="0" xfId="0" applyNumberFormat="1" applyFont="1" applyAlignment="1">
      <alignment wrapText="1"/>
    </xf>
    <xf numFmtId="3" fontId="7" fillId="0" borderId="5" xfId="0" applyNumberFormat="1" applyFont="1" applyBorder="1" applyAlignment="1">
      <alignment wrapText="1"/>
    </xf>
    <xf numFmtId="0" fontId="7" fillId="0" borderId="5" xfId="0" applyFont="1" applyBorder="1" applyAlignment="1">
      <alignment horizontal="left" wrapText="1"/>
    </xf>
    <xf numFmtId="164" fontId="7" fillId="0" borderId="0" xfId="1" applyNumberFormat="1" applyFont="1" applyFill="1" applyBorder="1" applyAlignment="1">
      <alignment horizontal="right"/>
    </xf>
    <xf numFmtId="164" fontId="7" fillId="0" borderId="5" xfId="1" applyNumberFormat="1" applyFont="1" applyFill="1" applyBorder="1" applyAlignment="1">
      <alignment horizontal="right"/>
    </xf>
    <xf numFmtId="164" fontId="5" fillId="0" borderId="4" xfId="1" applyNumberFormat="1" applyFont="1" applyFill="1" applyBorder="1"/>
    <xf numFmtId="0" fontId="7" fillId="0" borderId="5" xfId="0" applyFont="1" applyBorder="1" applyAlignment="1">
      <alignment wrapText="1"/>
    </xf>
    <xf numFmtId="168" fontId="7" fillId="0" borderId="5" xfId="0" applyNumberFormat="1" applyFont="1" applyBorder="1" applyAlignment="1">
      <alignment horizontal="center"/>
    </xf>
    <xf numFmtId="164" fontId="5" fillId="0" borderId="4" xfId="1" applyNumberFormat="1" applyFont="1" applyFill="1" applyBorder="1" applyAlignment="1">
      <alignment horizontal="right"/>
    </xf>
    <xf numFmtId="164" fontId="43" fillId="0" borderId="0" xfId="12" applyNumberFormat="1" applyFont="1" applyAlignment="1" applyProtection="1">
      <alignment vertical="center" wrapText="1"/>
      <protection locked="0"/>
    </xf>
    <xf numFmtId="0" fontId="3" fillId="0" borderId="0" xfId="27"/>
    <xf numFmtId="0" fontId="45" fillId="0" borderId="5" xfId="12" applyFont="1" applyBorder="1" applyAlignment="1">
      <alignment horizontal="center" vertical="top"/>
    </xf>
    <xf numFmtId="174" fontId="43" fillId="0" borderId="0" xfId="12" applyNumberFormat="1" applyFont="1" applyAlignment="1" applyProtection="1">
      <alignment horizontal="center" vertical="center" wrapText="1"/>
      <protection locked="0"/>
    </xf>
    <xf numFmtId="0" fontId="43" fillId="0" borderId="0" xfId="12" applyFont="1" applyAlignment="1" applyProtection="1">
      <alignment vertical="center" wrapText="1"/>
      <protection locked="0"/>
    </xf>
    <xf numFmtId="0" fontId="43" fillId="0" borderId="0" xfId="12" applyFont="1" applyAlignment="1" applyProtection="1">
      <alignment vertical="center"/>
      <protection locked="0"/>
    </xf>
    <xf numFmtId="164" fontId="46" fillId="0" borderId="0" xfId="12" applyNumberFormat="1" applyFont="1" applyAlignment="1">
      <alignment vertical="top"/>
    </xf>
    <xf numFmtId="164" fontId="46" fillId="0" borderId="0" xfId="12" applyNumberFormat="1" applyFont="1"/>
    <xf numFmtId="164" fontId="43" fillId="5" borderId="0" xfId="12" applyNumberFormat="1" applyFont="1" applyFill="1"/>
    <xf numFmtId="164" fontId="43" fillId="0" borderId="5" xfId="12" applyNumberFormat="1" applyFont="1" applyBorder="1"/>
    <xf numFmtId="164" fontId="43" fillId="0" borderId="3" xfId="12" applyNumberFormat="1" applyFont="1" applyBorder="1"/>
    <xf numFmtId="164" fontId="43" fillId="0" borderId="26" xfId="1" applyNumberFormat="1" applyFont="1" applyFill="1" applyBorder="1" applyAlignment="1"/>
    <xf numFmtId="164" fontId="43" fillId="0" borderId="0" xfId="1" applyNumberFormat="1" applyFont="1" applyFill="1" applyAlignment="1"/>
    <xf numFmtId="164" fontId="3" fillId="0" borderId="0" xfId="27" applyNumberFormat="1"/>
    <xf numFmtId="0" fontId="3" fillId="0" borderId="0" xfId="27" applyAlignment="1">
      <alignment horizontal="center"/>
    </xf>
    <xf numFmtId="0" fontId="43" fillId="5" borderId="0" xfId="12" applyFont="1" applyFill="1" applyAlignment="1" applyProtection="1">
      <alignment vertical="center"/>
      <protection locked="0"/>
    </xf>
    <xf numFmtId="38" fontId="43" fillId="5" borderId="0" xfId="12" applyNumberFormat="1" applyFont="1" applyFill="1"/>
    <xf numFmtId="0" fontId="43" fillId="5" borderId="0" xfId="12" applyFont="1" applyFill="1" applyAlignment="1">
      <alignment vertical="top"/>
    </xf>
    <xf numFmtId="0" fontId="3" fillId="5" borderId="0" xfId="27" applyFill="1"/>
    <xf numFmtId="164" fontId="43" fillId="0" borderId="0" xfId="12" applyNumberFormat="1" applyFont="1" applyAlignment="1">
      <alignment vertical="center"/>
    </xf>
    <xf numFmtId="0" fontId="45" fillId="0" borderId="0" xfId="12" applyFont="1"/>
    <xf numFmtId="37" fontId="43" fillId="0" borderId="26" xfId="12" applyNumberFormat="1" applyFont="1" applyBorder="1"/>
    <xf numFmtId="37" fontId="43" fillId="0" borderId="0" xfId="12" applyNumberFormat="1" applyFont="1" applyAlignment="1">
      <alignment vertical="center" wrapText="1"/>
    </xf>
    <xf numFmtId="37" fontId="43" fillId="0" borderId="0" xfId="12" applyNumberFormat="1" applyFont="1" applyAlignment="1">
      <alignment horizontal="center"/>
    </xf>
    <xf numFmtId="0" fontId="94" fillId="0" borderId="0" xfId="28" applyFont="1"/>
    <xf numFmtId="0" fontId="45" fillId="0" borderId="0" xfId="12" applyFont="1" applyAlignment="1" applyProtection="1">
      <alignment vertical="center"/>
      <protection locked="0"/>
    </xf>
    <xf numFmtId="0" fontId="43" fillId="0" borderId="0" xfId="28" applyFont="1" applyAlignment="1">
      <alignment horizontal="left" wrapText="1"/>
    </xf>
    <xf numFmtId="0" fontId="43" fillId="0" borderId="5" xfId="28" applyFont="1" applyBorder="1" applyAlignment="1">
      <alignment horizontal="center" wrapText="1"/>
    </xf>
    <xf numFmtId="0" fontId="43" fillId="0" borderId="0" xfId="28" applyFont="1" applyAlignment="1">
      <alignment horizontal="right" indent="1"/>
    </xf>
    <xf numFmtId="9" fontId="43" fillId="5" borderId="0" xfId="28" applyNumberFormat="1" applyFont="1" applyFill="1" applyAlignment="1">
      <alignment horizontal="right" wrapText="1"/>
    </xf>
    <xf numFmtId="0" fontId="44" fillId="0" borderId="0" xfId="12" applyFont="1" applyAlignment="1">
      <alignment horizontal="left" vertical="top"/>
    </xf>
    <xf numFmtId="10" fontId="43" fillId="0" borderId="4" xfId="28" applyNumberFormat="1" applyFont="1" applyBorder="1" applyAlignment="1">
      <alignment horizontal="right" wrapText="1"/>
    </xf>
    <xf numFmtId="168" fontId="43" fillId="0" borderId="4" xfId="15" applyNumberFormat="1" applyFont="1" applyFill="1" applyBorder="1" applyAlignment="1">
      <alignment horizontal="right" wrapText="1"/>
    </xf>
    <xf numFmtId="0" fontId="45" fillId="0" borderId="5" xfId="12" applyFont="1" applyBorder="1" applyAlignment="1">
      <alignment horizontal="center"/>
    </xf>
    <xf numFmtId="0" fontId="44" fillId="0" borderId="5" xfId="12" applyFont="1" applyBorder="1" applyAlignment="1">
      <alignment horizontal="center" wrapText="1"/>
    </xf>
    <xf numFmtId="0" fontId="44" fillId="0" borderId="5" xfId="12" applyFont="1" applyBorder="1"/>
    <xf numFmtId="1" fontId="43" fillId="0" borderId="0" xfId="12" applyNumberFormat="1" applyFont="1" applyAlignment="1" applyProtection="1">
      <alignment horizontal="center" vertical="center" wrapText="1"/>
      <protection locked="0"/>
    </xf>
    <xf numFmtId="1" fontId="43" fillId="5" borderId="0" xfId="12" applyNumberFormat="1" applyFont="1" applyFill="1" applyAlignment="1" applyProtection="1">
      <alignment horizontal="center" vertical="center" wrapText="1"/>
      <protection locked="0"/>
    </xf>
    <xf numFmtId="164" fontId="43" fillId="0" borderId="26" xfId="1" applyNumberFormat="1" applyFont="1" applyFill="1" applyBorder="1" applyAlignment="1">
      <alignment vertical="top"/>
    </xf>
    <xf numFmtId="2" fontId="3" fillId="0" borderId="0" xfId="27" applyNumberFormat="1"/>
    <xf numFmtId="10" fontId="3" fillId="0" borderId="0" xfId="27" applyNumberFormat="1"/>
    <xf numFmtId="168" fontId="3" fillId="0" borderId="0" xfId="27" applyNumberFormat="1"/>
    <xf numFmtId="171" fontId="3" fillId="0" borderId="0" xfId="27" applyNumberFormat="1"/>
    <xf numFmtId="167" fontId="3" fillId="0" borderId="0" xfId="27" applyNumberFormat="1"/>
    <xf numFmtId="43" fontId="43" fillId="0" borderId="0" xfId="12" applyNumberFormat="1" applyFont="1" applyAlignment="1" applyProtection="1">
      <alignment vertical="center" wrapText="1"/>
      <protection locked="0"/>
    </xf>
    <xf numFmtId="164" fontId="43" fillId="0" borderId="26" xfId="1" applyNumberFormat="1" applyFont="1" applyFill="1" applyBorder="1" applyAlignment="1">
      <alignment vertical="center"/>
    </xf>
    <xf numFmtId="164" fontId="43" fillId="0" borderId="11" xfId="12" applyNumberFormat="1" applyFont="1" applyBorder="1" applyAlignment="1">
      <alignment vertical="center" wrapText="1"/>
    </xf>
    <xf numFmtId="171" fontId="46" fillId="0" borderId="0" xfId="12" applyNumberFormat="1" applyFont="1" applyAlignment="1">
      <alignment vertical="center"/>
    </xf>
    <xf numFmtId="0" fontId="43" fillId="0" borderId="0" xfId="12" applyFont="1" applyAlignment="1" applyProtection="1">
      <alignment horizontal="left" vertical="top"/>
      <protection locked="0"/>
    </xf>
    <xf numFmtId="0" fontId="45" fillId="0" borderId="0" xfId="12" applyFont="1" applyAlignment="1">
      <alignment horizontal="left" vertical="top"/>
    </xf>
    <xf numFmtId="0" fontId="43" fillId="5" borderId="0" xfId="12" applyFont="1" applyFill="1" applyAlignment="1">
      <alignment vertical="center" wrapText="1"/>
    </xf>
    <xf numFmtId="164" fontId="43" fillId="5" borderId="0" xfId="12" applyNumberFormat="1" applyFont="1" applyFill="1" applyAlignment="1">
      <alignment vertical="center" wrapText="1"/>
    </xf>
    <xf numFmtId="0" fontId="43" fillId="0" borderId="0" xfId="27" quotePrefix="1" applyFont="1" applyAlignment="1">
      <alignment vertical="top"/>
    </xf>
    <xf numFmtId="0" fontId="43" fillId="0" borderId="0" xfId="27" quotePrefix="1" applyFont="1" applyAlignment="1">
      <alignment horizontal="left" vertical="top"/>
    </xf>
    <xf numFmtId="0" fontId="43" fillId="0" borderId="0" xfId="12" applyFont="1" applyProtection="1">
      <protection locked="0"/>
    </xf>
    <xf numFmtId="0" fontId="95" fillId="0" borderId="0" xfId="0" applyFont="1"/>
    <xf numFmtId="0" fontId="95" fillId="8" borderId="0" xfId="0" applyFont="1" applyFill="1"/>
    <xf numFmtId="0" fontId="3" fillId="8" borderId="0" xfId="0" applyFont="1" applyFill="1"/>
    <xf numFmtId="0" fontId="95" fillId="0" borderId="89" xfId="0" applyFont="1" applyBorder="1" applyAlignment="1">
      <alignment horizontal="center" wrapText="1"/>
    </xf>
    <xf numFmtId="0" fontId="95" fillId="0" borderId="79" xfId="0" applyFont="1" applyBorder="1" applyAlignment="1">
      <alignment horizontal="center" wrapText="1"/>
    </xf>
    <xf numFmtId="0" fontId="95" fillId="0" borderId="90" xfId="0" applyFont="1" applyBorder="1" applyAlignment="1">
      <alignment horizontal="center" wrapText="1"/>
    </xf>
    <xf numFmtId="0" fontId="95" fillId="0" borderId="80" xfId="0" applyFont="1" applyBorder="1" applyAlignment="1">
      <alignment horizontal="center" wrapText="1"/>
    </xf>
    <xf numFmtId="0" fontId="3" fillId="0" borderId="28" xfId="0" applyFont="1" applyBorder="1"/>
    <xf numFmtId="0" fontId="43" fillId="5" borderId="0" xfId="12" applyFont="1" applyFill="1" applyAlignment="1" applyProtection="1">
      <alignment horizontal="left" vertical="center" wrapText="1"/>
      <protection locked="0"/>
    </xf>
    <xf numFmtId="164" fontId="43" fillId="0" borderId="26" xfId="12" applyNumberFormat="1" applyFont="1" applyBorder="1" applyAlignment="1">
      <alignment vertical="center"/>
    </xf>
    <xf numFmtId="164" fontId="43" fillId="5" borderId="0" xfId="12" applyNumberFormat="1" applyFont="1" applyFill="1" applyAlignment="1">
      <alignment horizontal="left"/>
    </xf>
    <xf numFmtId="0" fontId="94" fillId="0" borderId="0" xfId="29" applyFont="1"/>
    <xf numFmtId="0" fontId="43" fillId="0" borderId="0" xfId="29" applyFont="1" applyAlignment="1">
      <alignment horizontal="left" wrapText="1"/>
    </xf>
    <xf numFmtId="0" fontId="43" fillId="0" borderId="5" xfId="29" applyFont="1" applyBorder="1" applyAlignment="1">
      <alignment horizontal="center" wrapText="1"/>
    </xf>
    <xf numFmtId="0" fontId="43" fillId="0" borderId="0" xfId="29" applyFont="1" applyAlignment="1">
      <alignment horizontal="right" indent="1"/>
    </xf>
    <xf numFmtId="9" fontId="43" fillId="5" borderId="0" xfId="29" applyNumberFormat="1" applyFont="1" applyFill="1" applyAlignment="1">
      <alignment horizontal="right" wrapText="1"/>
    </xf>
    <xf numFmtId="10" fontId="43" fillId="0" borderId="4" xfId="29" applyNumberFormat="1" applyFont="1" applyBorder="1" applyAlignment="1">
      <alignment horizontal="right" wrapText="1"/>
    </xf>
    <xf numFmtId="0" fontId="43" fillId="5" borderId="0" xfId="12" applyFont="1" applyFill="1" applyProtection="1">
      <protection locked="0"/>
    </xf>
    <xf numFmtId="0" fontId="43" fillId="5" borderId="0" xfId="12" applyFont="1" applyFill="1" applyAlignment="1" applyProtection="1">
      <alignment vertical="top"/>
      <protection locked="0"/>
    </xf>
    <xf numFmtId="37" fontId="43" fillId="5" borderId="0" xfId="12" applyNumberFormat="1" applyFont="1" applyFill="1" applyAlignment="1" applyProtection="1">
      <alignment vertical="top"/>
      <protection locked="0"/>
    </xf>
    <xf numFmtId="164" fontId="43" fillId="5" borderId="0" xfId="12" applyNumberFormat="1" applyFont="1" applyFill="1" applyProtection="1">
      <protection locked="0"/>
    </xf>
    <xf numFmtId="0" fontId="96" fillId="5" borderId="0" xfId="12" applyFont="1" applyFill="1" applyProtection="1">
      <protection locked="0"/>
    </xf>
    <xf numFmtId="0" fontId="43" fillId="0" borderId="0" xfId="0" quotePrefix="1" applyFont="1" applyAlignment="1">
      <alignment horizontal="left" vertical="top"/>
    </xf>
    <xf numFmtId="164" fontId="3" fillId="0" borderId="0" xfId="0" applyNumberFormat="1" applyFont="1"/>
    <xf numFmtId="0" fontId="3" fillId="8" borderId="44" xfId="0" applyFont="1" applyFill="1" applyBorder="1" applyAlignment="1">
      <alignment wrapText="1"/>
    </xf>
    <xf numFmtId="0" fontId="3" fillId="8" borderId="11" xfId="0" applyFont="1" applyFill="1" applyBorder="1" applyAlignment="1">
      <alignment wrapText="1"/>
    </xf>
    <xf numFmtId="0" fontId="3" fillId="8" borderId="91" xfId="0" applyFont="1" applyFill="1" applyBorder="1" applyAlignment="1">
      <alignment wrapText="1"/>
    </xf>
    <xf numFmtId="10" fontId="3" fillId="0" borderId="0" xfId="24" applyNumberFormat="1" applyFont="1" applyFill="1" applyBorder="1" applyAlignment="1" applyProtection="1">
      <alignment horizontal="right" vertical="top"/>
      <protection locked="0"/>
    </xf>
    <xf numFmtId="0" fontId="3" fillId="9" borderId="91" xfId="0" applyFont="1" applyFill="1" applyBorder="1" applyAlignment="1">
      <alignment wrapText="1"/>
    </xf>
    <xf numFmtId="0" fontId="3" fillId="8" borderId="11" xfId="0" applyFont="1" applyFill="1" applyBorder="1" applyAlignment="1">
      <alignment vertical="top" wrapText="1"/>
    </xf>
    <xf numFmtId="0" fontId="3" fillId="8" borderId="91" xfId="0" applyFont="1" applyFill="1" applyBorder="1" applyAlignment="1">
      <alignment vertical="top" wrapText="1"/>
    </xf>
    <xf numFmtId="0" fontId="3" fillId="8" borderId="44" xfId="0" applyFont="1" applyFill="1" applyBorder="1" applyAlignment="1">
      <alignment vertical="top" wrapText="1"/>
    </xf>
    <xf numFmtId="0" fontId="7" fillId="0" borderId="62" xfId="0" applyFont="1" applyBorder="1" applyAlignment="1">
      <alignment horizontal="left"/>
    </xf>
    <xf numFmtId="0" fontId="7" fillId="0" borderId="0" xfId="0" quotePrefix="1" applyFont="1" applyAlignment="1">
      <alignment horizontal="center" vertical="center"/>
    </xf>
    <xf numFmtId="164" fontId="7" fillId="0" borderId="0" xfId="0" applyNumberFormat="1" applyFont="1"/>
    <xf numFmtId="0" fontId="86" fillId="0" borderId="7" xfId="0" applyFont="1" applyBorder="1" applyAlignment="1">
      <alignment vertical="top"/>
    </xf>
    <xf numFmtId="0" fontId="7" fillId="0" borderId="17" xfId="0" applyFont="1" applyBorder="1" applyAlignment="1">
      <alignment vertical="center"/>
    </xf>
    <xf numFmtId="0" fontId="7" fillId="0" borderId="0" xfId="0" quotePrefix="1" applyFont="1" applyAlignment="1">
      <alignment vertical="center"/>
    </xf>
    <xf numFmtId="0" fontId="86" fillId="0" borderId="0" xfId="0" applyFont="1" applyAlignment="1">
      <alignment vertical="top"/>
    </xf>
    <xf numFmtId="0" fontId="84" fillId="0" borderId="0" xfId="0" applyFont="1" applyAlignment="1">
      <alignment horizontal="center" vertical="top"/>
    </xf>
    <xf numFmtId="0" fontId="87" fillId="0" borderId="7" xfId="0" applyFont="1" applyBorder="1" applyAlignment="1">
      <alignment vertical="top"/>
    </xf>
    <xf numFmtId="0" fontId="87" fillId="0" borderId="0" xfId="0" applyFont="1" applyAlignment="1">
      <alignment vertical="top"/>
    </xf>
    <xf numFmtId="0" fontId="97" fillId="0" borderId="0" xfId="0" applyFont="1" applyAlignment="1">
      <alignment horizontal="center" vertical="top"/>
    </xf>
    <xf numFmtId="44" fontId="87" fillId="0" borderId="10" xfId="6" applyFont="1" applyFill="1" applyBorder="1" applyAlignment="1">
      <alignment vertical="top"/>
    </xf>
    <xf numFmtId="14" fontId="84" fillId="0" borderId="0" xfId="0" applyNumberFormat="1" applyFont="1" applyAlignment="1">
      <alignment horizontal="center" vertical="top"/>
    </xf>
    <xf numFmtId="44" fontId="7" fillId="0" borderId="10" xfId="15" applyNumberFormat="1" applyFont="1" applyFill="1" applyBorder="1" applyAlignment="1">
      <alignment vertical="top"/>
    </xf>
    <xf numFmtId="0" fontId="91" fillId="10" borderId="7" xfId="0" applyFont="1" applyFill="1" applyBorder="1" applyAlignment="1">
      <alignment vertical="top"/>
    </xf>
    <xf numFmtId="0" fontId="98" fillId="10" borderId="7" xfId="0" applyFont="1" applyFill="1" applyBorder="1" applyAlignment="1">
      <alignment vertical="top"/>
    </xf>
    <xf numFmtId="0" fontId="7" fillId="10" borderId="7" xfId="0" applyFont="1" applyFill="1" applyBorder="1" applyAlignment="1">
      <alignment vertical="top"/>
    </xf>
    <xf numFmtId="0" fontId="99" fillId="0" borderId="7" xfId="0" applyFont="1" applyBorder="1" applyAlignment="1">
      <alignment vertical="top"/>
    </xf>
    <xf numFmtId="164" fontId="79" fillId="8" borderId="0" xfId="1" applyNumberFormat="1" applyFont="1" applyFill="1" applyBorder="1"/>
    <xf numFmtId="164" fontId="78" fillId="8" borderId="0" xfId="1" applyNumberFormat="1" applyFont="1" applyFill="1" applyBorder="1"/>
    <xf numFmtId="164" fontId="76" fillId="8" borderId="0" xfId="0" applyNumberFormat="1" applyFont="1" applyFill="1"/>
    <xf numFmtId="164" fontId="78" fillId="8" borderId="0" xfId="1" applyNumberFormat="1" applyFont="1" applyFill="1"/>
    <xf numFmtId="164" fontId="84" fillId="8" borderId="0" xfId="2" applyNumberFormat="1" applyFont="1" applyFill="1"/>
    <xf numFmtId="164" fontId="85" fillId="8" borderId="70" xfId="25" applyNumberFormat="1" applyFill="1"/>
    <xf numFmtId="9" fontId="3" fillId="0" borderId="0" xfId="16" applyFont="1" applyFill="1"/>
    <xf numFmtId="0" fontId="3" fillId="0" borderId="0" xfId="13" applyFont="1" applyAlignment="1">
      <alignment horizontal="center"/>
    </xf>
    <xf numFmtId="0" fontId="3" fillId="0" borderId="0" xfId="9" applyFont="1" applyAlignment="1">
      <alignment horizontal="center"/>
    </xf>
    <xf numFmtId="0" fontId="3" fillId="0" borderId="0" xfId="9" quotePrefix="1" applyFont="1" applyAlignment="1">
      <alignment horizontal="center"/>
    </xf>
    <xf numFmtId="14" fontId="3" fillId="5" borderId="0" xfId="9" applyNumberFormat="1" applyFont="1" applyFill="1" applyAlignment="1">
      <alignment horizontal="center" vertical="center" wrapText="1"/>
    </xf>
    <xf numFmtId="37" fontId="3" fillId="0" borderId="0" xfId="0" applyNumberFormat="1" applyFont="1"/>
    <xf numFmtId="164" fontId="7" fillId="5" borderId="11" xfId="0" applyNumberFormat="1" applyFont="1" applyFill="1" applyBorder="1"/>
    <xf numFmtId="176" fontId="7" fillId="0" borderId="0" xfId="0" applyNumberFormat="1" applyFont="1"/>
    <xf numFmtId="177" fontId="7" fillId="0" borderId="0" xfId="0" applyNumberFormat="1" applyFont="1"/>
    <xf numFmtId="37" fontId="7" fillId="0" borderId="92" xfId="0" applyNumberFormat="1" applyFont="1" applyBorder="1"/>
    <xf numFmtId="0" fontId="3" fillId="8" borderId="11" xfId="0" applyFont="1" applyFill="1" applyBorder="1" applyAlignment="1">
      <alignment horizontal="center" wrapText="1"/>
    </xf>
    <xf numFmtId="0" fontId="3" fillId="8" borderId="44" xfId="0" applyFont="1" applyFill="1" applyBorder="1" applyAlignment="1">
      <alignment horizontal="center" wrapText="1"/>
    </xf>
    <xf numFmtId="0" fontId="25" fillId="0" borderId="0" xfId="0" applyFont="1" applyAlignment="1">
      <alignment horizontal="center"/>
    </xf>
    <xf numFmtId="0" fontId="3" fillId="0" borderId="0" xfId="0" applyFont="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60" xfId="0" applyFont="1" applyBorder="1" applyAlignment="1">
      <alignment horizontal="center" vertical="center" wrapText="1"/>
    </xf>
    <xf numFmtId="0" fontId="9" fillId="0" borderId="24" xfId="0" applyFont="1" applyBorder="1" applyAlignment="1">
      <alignment horizontal="center" vertical="center" wrapText="1"/>
    </xf>
    <xf numFmtId="0" fontId="7" fillId="0" borderId="12" xfId="0" applyFont="1" applyBorder="1" applyAlignment="1">
      <alignment horizontal="left" vertical="center" wrapText="1"/>
    </xf>
    <xf numFmtId="0" fontId="7" fillId="0" borderId="53" xfId="0" applyFont="1" applyBorder="1" applyAlignment="1">
      <alignment horizontal="left" vertical="center" wrapText="1"/>
    </xf>
    <xf numFmtId="0" fontId="7" fillId="5" borderId="11" xfId="0" applyFont="1" applyFill="1" applyBorder="1" applyAlignment="1">
      <alignment horizontal="left"/>
    </xf>
    <xf numFmtId="0" fontId="7" fillId="5" borderId="30" xfId="0" applyFont="1" applyFill="1" applyBorder="1" applyAlignment="1">
      <alignment horizontal="left"/>
    </xf>
    <xf numFmtId="0" fontId="5" fillId="0" borderId="33" xfId="0" applyFont="1" applyBorder="1" applyAlignment="1">
      <alignment horizontal="center"/>
    </xf>
    <xf numFmtId="0" fontId="5" fillId="0" borderId="69" xfId="0" applyFont="1" applyBorder="1" applyAlignment="1">
      <alignment horizontal="center"/>
    </xf>
    <xf numFmtId="0" fontId="25" fillId="5" borderId="0" xfId="0" applyFont="1" applyFill="1" applyAlignment="1">
      <alignment horizontal="center"/>
    </xf>
    <xf numFmtId="0" fontId="5" fillId="0" borderId="25" xfId="0" applyFont="1" applyBorder="1" applyAlignment="1">
      <alignment horizontal="center" vertical="center"/>
    </xf>
    <xf numFmtId="0" fontId="5" fillId="0" borderId="34" xfId="0" applyFont="1" applyBorder="1" applyAlignment="1">
      <alignment horizontal="center" vertical="center"/>
    </xf>
    <xf numFmtId="0" fontId="90" fillId="0" borderId="0" xfId="0" applyFont="1" applyAlignment="1">
      <alignment horizontal="left" wrapText="1"/>
    </xf>
    <xf numFmtId="0" fontId="4"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7" fillId="0" borderId="65" xfId="0" applyFont="1" applyBorder="1" applyAlignment="1">
      <alignment horizontal="left" vertical="center" wrapText="1"/>
    </xf>
    <xf numFmtId="0" fontId="7" fillId="0" borderId="66" xfId="0" applyFont="1" applyBorder="1" applyAlignment="1">
      <alignment horizontal="left" vertical="center" wrapText="1"/>
    </xf>
    <xf numFmtId="0" fontId="7" fillId="0" borderId="67" xfId="0" applyFont="1" applyBorder="1" applyAlignment="1">
      <alignment horizontal="left" vertical="center" wrapText="1"/>
    </xf>
    <xf numFmtId="0" fontId="7" fillId="0" borderId="14" xfId="0" applyFont="1" applyBorder="1" applyAlignment="1">
      <alignment horizontal="left" vertical="center" wrapText="1"/>
    </xf>
    <xf numFmtId="0" fontId="7" fillId="0" borderId="68" xfId="0" applyFont="1" applyBorder="1" applyAlignment="1">
      <alignment horizontal="left" vertical="center" wrapText="1"/>
    </xf>
    <xf numFmtId="0" fontId="5" fillId="0" borderId="0" xfId="0" applyFont="1" applyAlignment="1">
      <alignment horizontal="left"/>
    </xf>
    <xf numFmtId="0" fontId="25" fillId="0" borderId="0" xfId="0" applyFont="1" applyAlignment="1">
      <alignment horizontal="center" vertical="center"/>
    </xf>
    <xf numFmtId="0" fontId="9" fillId="0" borderId="0" xfId="0" applyFont="1" applyAlignment="1">
      <alignment horizontal="center" vertical="center"/>
    </xf>
    <xf numFmtId="0" fontId="28" fillId="0" borderId="0" xfId="0" applyFont="1" applyAlignment="1">
      <alignment horizontal="center" vertical="center"/>
    </xf>
    <xf numFmtId="0" fontId="14" fillId="0" borderId="56" xfId="0" applyFont="1" applyBorder="1" applyAlignment="1">
      <alignment horizontal="center"/>
    </xf>
    <xf numFmtId="0" fontId="14" fillId="0" borderId="57" xfId="0" applyFont="1" applyBorder="1" applyAlignment="1">
      <alignment horizontal="center"/>
    </xf>
    <xf numFmtId="0" fontId="5" fillId="0" borderId="3" xfId="0" applyFont="1" applyBorder="1" applyAlignment="1">
      <alignment horizontal="left"/>
    </xf>
    <xf numFmtId="0" fontId="43" fillId="0" borderId="0" xfId="12" applyFont="1" applyAlignment="1">
      <alignment horizontal="center" vertical="top"/>
    </xf>
    <xf numFmtId="169" fontId="36" fillId="0" borderId="0" xfId="12" applyNumberFormat="1" applyFont="1" applyAlignment="1">
      <alignment horizontal="center" vertical="top"/>
    </xf>
    <xf numFmtId="0" fontId="36" fillId="0" borderId="0" xfId="0" applyFont="1" applyAlignment="1">
      <alignment horizontal="center" vertical="top"/>
    </xf>
    <xf numFmtId="0" fontId="35" fillId="0" borderId="0" xfId="0" applyFont="1" applyAlignment="1">
      <alignment horizontal="center"/>
    </xf>
    <xf numFmtId="0" fontId="0" fillId="0" borderId="0" xfId="0" applyAlignment="1">
      <alignment horizontal="center"/>
    </xf>
    <xf numFmtId="0" fontId="0" fillId="0" borderId="0" xfId="0"/>
    <xf numFmtId="9" fontId="92" fillId="0" borderId="0" xfId="12" quotePrefix="1" applyNumberFormat="1" applyFont="1" applyAlignment="1">
      <alignment horizontal="center" vertical="top" wrapText="1"/>
    </xf>
    <xf numFmtId="9" fontId="92" fillId="0" borderId="5" xfId="12" quotePrefix="1" applyNumberFormat="1" applyFont="1" applyBorder="1" applyAlignment="1">
      <alignment horizontal="center" vertical="top" wrapText="1"/>
    </xf>
    <xf numFmtId="0" fontId="3" fillId="0" borderId="0" xfId="0" applyFont="1" applyAlignment="1">
      <alignment horizontal="center" vertical="top" wrapText="1"/>
    </xf>
    <xf numFmtId="0" fontId="3" fillId="0" borderId="5" xfId="0" applyFont="1" applyBorder="1" applyAlignment="1">
      <alignment horizontal="center" vertical="top" wrapText="1"/>
    </xf>
    <xf numFmtId="164" fontId="43" fillId="0" borderId="0" xfId="12" applyNumberFormat="1" applyFont="1" applyAlignment="1">
      <alignment horizontal="center"/>
    </xf>
    <xf numFmtId="0" fontId="92" fillId="0" borderId="0" xfId="12" applyFont="1" applyAlignment="1">
      <alignment horizontal="center" vertical="top" wrapText="1"/>
    </xf>
    <xf numFmtId="0" fontId="92" fillId="0" borderId="5" xfId="12" applyFont="1" applyBorder="1" applyAlignment="1">
      <alignment horizontal="center" vertical="top" wrapText="1"/>
    </xf>
    <xf numFmtId="0" fontId="36" fillId="0" borderId="0" xfId="27" applyFont="1" applyAlignment="1">
      <alignment horizontal="center" vertical="top"/>
    </xf>
    <xf numFmtId="0" fontId="35" fillId="0" borderId="0" xfId="27" applyFont="1" applyAlignment="1">
      <alignment horizontal="center"/>
    </xf>
    <xf numFmtId="0" fontId="3" fillId="0" borderId="0" xfId="27" applyAlignment="1">
      <alignment horizontal="center"/>
    </xf>
    <xf numFmtId="0" fontId="3" fillId="0" borderId="0" xfId="27"/>
    <xf numFmtId="0" fontId="3" fillId="0" borderId="0" xfId="27" applyAlignment="1">
      <alignment horizontal="center" vertical="top" wrapText="1"/>
    </xf>
    <xf numFmtId="0" fontId="3" fillId="0" borderId="5" xfId="27" applyBorder="1" applyAlignment="1">
      <alignment horizontal="center" vertical="top" wrapText="1"/>
    </xf>
    <xf numFmtId="0" fontId="43" fillId="5" borderId="0" xfId="12" applyFont="1" applyFill="1" applyAlignment="1" applyProtection="1">
      <alignment horizontal="left" vertical="center" wrapText="1"/>
      <protection locked="0"/>
    </xf>
    <xf numFmtId="0" fontId="45" fillId="5" borderId="0" xfId="12" applyFont="1" applyFill="1" applyAlignment="1" applyProtection="1">
      <alignment horizontal="left" vertical="center" wrapText="1"/>
      <protection locked="0"/>
    </xf>
    <xf numFmtId="0" fontId="43" fillId="5" borderId="0" xfId="12" applyFont="1" applyFill="1" applyAlignment="1" applyProtection="1">
      <alignment horizontal="left" vertical="top" wrapText="1"/>
      <protection locked="0"/>
    </xf>
    <xf numFmtId="0" fontId="43" fillId="0" borderId="0" xfId="12" applyFont="1" applyAlignment="1" applyProtection="1">
      <alignment horizontal="left" vertical="center" wrapText="1"/>
      <protection locked="0"/>
    </xf>
    <xf numFmtId="0" fontId="44" fillId="0" borderId="0" xfId="12" applyFont="1" applyAlignment="1">
      <alignment horizontal="center" vertical="top" wrapText="1"/>
    </xf>
    <xf numFmtId="0" fontId="44" fillId="0" borderId="5" xfId="12" applyFont="1" applyBorder="1" applyAlignment="1">
      <alignment horizontal="center" vertical="top" wrapText="1"/>
    </xf>
    <xf numFmtId="9" fontId="44" fillId="0" borderId="0" xfId="12" quotePrefix="1" applyNumberFormat="1" applyFont="1" applyAlignment="1">
      <alignment horizontal="center" vertical="top" wrapText="1"/>
    </xf>
    <xf numFmtId="0" fontId="62" fillId="0" borderId="0" xfId="27" applyFont="1" applyAlignment="1">
      <alignment horizontal="center" vertical="top" wrapText="1"/>
    </xf>
    <xf numFmtId="0" fontId="62" fillId="0" borderId="5" xfId="27" applyFont="1" applyBorder="1" applyAlignment="1">
      <alignment horizontal="center" vertical="top" wrapText="1"/>
    </xf>
    <xf numFmtId="0" fontId="44" fillId="0" borderId="0" xfId="12" applyFont="1" applyAlignment="1">
      <alignment horizontal="center" vertical="top"/>
    </xf>
    <xf numFmtId="0" fontId="44" fillId="0" borderId="5" xfId="12" applyFont="1" applyBorder="1" applyAlignment="1">
      <alignment horizontal="center" vertical="top"/>
    </xf>
    <xf numFmtId="0" fontId="11" fillId="0" borderId="0" xfId="0" applyFont="1" applyAlignment="1">
      <alignment horizontal="center"/>
    </xf>
    <xf numFmtId="0" fontId="23" fillId="0" borderId="0" xfId="0" applyFont="1"/>
    <xf numFmtId="0" fontId="5" fillId="0" borderId="0" xfId="0" applyFont="1" applyAlignment="1">
      <alignment horizontal="center"/>
    </xf>
    <xf numFmtId="0" fontId="7" fillId="0" borderId="0" xfId="0" applyFont="1" applyAlignment="1">
      <alignment horizontal="center"/>
    </xf>
    <xf numFmtId="0" fontId="9" fillId="0" borderId="0" xfId="0" applyFont="1"/>
    <xf numFmtId="0" fontId="7" fillId="0" borderId="0" xfId="0" applyFont="1" applyAlignment="1">
      <alignment horizontal="center" vertical="center"/>
    </xf>
    <xf numFmtId="0" fontId="4" fillId="0" borderId="0" xfId="0" applyFont="1" applyAlignment="1">
      <alignment horizontal="center" vertical="top" wrapText="1"/>
    </xf>
    <xf numFmtId="0" fontId="0" fillId="0" borderId="5" xfId="0" applyBorder="1" applyAlignment="1">
      <alignment horizontal="center" vertical="top" wrapText="1"/>
    </xf>
    <xf numFmtId="0" fontId="23"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vertical="top" wrapText="1"/>
    </xf>
    <xf numFmtId="0" fontId="6"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0" fillId="0" borderId="0" xfId="0" applyAlignment="1">
      <alignment horizontal="left"/>
    </xf>
    <xf numFmtId="0" fontId="14" fillId="0" borderId="0" xfId="0" applyFont="1" applyAlignment="1">
      <alignment horizontal="center"/>
    </xf>
    <xf numFmtId="0" fontId="48" fillId="0" borderId="0" xfId="0" applyFont="1" applyAlignment="1">
      <alignment horizontal="center"/>
    </xf>
    <xf numFmtId="0" fontId="48" fillId="0" borderId="0" xfId="0" applyFont="1"/>
    <xf numFmtId="0" fontId="0" fillId="0" borderId="0" xfId="0" applyAlignment="1">
      <alignment horizontal="center" vertical="top"/>
    </xf>
    <xf numFmtId="0" fontId="9" fillId="0" borderId="0" xfId="0" applyFont="1" applyAlignment="1">
      <alignment horizontal="left" wrapText="1"/>
    </xf>
    <xf numFmtId="0" fontId="0" fillId="0" borderId="0" xfId="0" applyAlignment="1">
      <alignment horizontal="left" wrapText="1"/>
    </xf>
    <xf numFmtId="0" fontId="3" fillId="0" borderId="0" xfId="0" applyFont="1" applyAlignment="1">
      <alignment horizontal="center" vertical="center" wrapText="1"/>
    </xf>
    <xf numFmtId="0" fontId="9" fillId="0" borderId="36" xfId="9" applyBorder="1" applyAlignment="1">
      <alignment horizontal="center" vertical="top" wrapText="1"/>
    </xf>
    <xf numFmtId="0" fontId="9" fillId="0" borderId="44" xfId="9" applyBorder="1" applyAlignment="1">
      <alignment horizontal="center" vertical="top" wrapText="1"/>
    </xf>
    <xf numFmtId="0" fontId="39" fillId="0" borderId="0" xfId="9" applyFont="1" applyAlignment="1">
      <alignment horizontal="center" wrapText="1"/>
    </xf>
    <xf numFmtId="0" fontId="9" fillId="0" borderId="0" xfId="9" applyAlignment="1">
      <alignment horizontal="center" wrapText="1"/>
    </xf>
    <xf numFmtId="3" fontId="40" fillId="0" borderId="0" xfId="9" applyNumberFormat="1" applyFont="1" applyAlignment="1">
      <alignment horizontal="center" vertical="center" wrapText="1"/>
    </xf>
    <xf numFmtId="0" fontId="14" fillId="0" borderId="0" xfId="9" applyFont="1" applyAlignment="1">
      <alignment horizontal="center" vertical="center" wrapText="1"/>
    </xf>
    <xf numFmtId="0" fontId="3" fillId="0" borderId="36" xfId="9" applyFont="1" applyBorder="1" applyAlignment="1">
      <alignment horizontal="center" vertical="center" wrapText="1"/>
    </xf>
    <xf numFmtId="0" fontId="3" fillId="0" borderId="44" xfId="9" applyFont="1" applyBorder="1" applyAlignment="1">
      <alignment horizontal="center" vertical="center" wrapText="1"/>
    </xf>
    <xf numFmtId="0" fontId="7" fillId="0" borderId="18" xfId="9" applyFont="1" applyBorder="1" applyAlignment="1">
      <alignment horizontal="center" vertical="top" wrapText="1"/>
    </xf>
    <xf numFmtId="0" fontId="9" fillId="0" borderId="3" xfId="9" applyBorder="1" applyAlignment="1">
      <alignment horizontal="center" vertical="top" wrapText="1"/>
    </xf>
    <xf numFmtId="0" fontId="9" fillId="0" borderId="17" xfId="9" applyBorder="1" applyAlignment="1">
      <alignment horizontal="center" vertical="top" wrapText="1"/>
    </xf>
    <xf numFmtId="0" fontId="9" fillId="0" borderId="16" xfId="9" applyBorder="1" applyAlignment="1">
      <alignment horizontal="center" vertical="top" wrapText="1"/>
    </xf>
    <xf numFmtId="0" fontId="9" fillId="0" borderId="0" xfId="9" applyAlignment="1">
      <alignment horizontal="center" vertical="top" wrapText="1"/>
    </xf>
    <xf numFmtId="0" fontId="9" fillId="0" borderId="15" xfId="9" applyBorder="1" applyAlignment="1">
      <alignment horizontal="center" vertical="top" wrapText="1"/>
    </xf>
    <xf numFmtId="0" fontId="9" fillId="0" borderId="14" xfId="9" applyBorder="1" applyAlignment="1">
      <alignment horizontal="center" vertical="top" wrapText="1"/>
    </xf>
    <xf numFmtId="0" fontId="9" fillId="0" borderId="5" xfId="9" applyBorder="1" applyAlignment="1">
      <alignment horizontal="center" vertical="top" wrapText="1"/>
    </xf>
    <xf numFmtId="0" fontId="9" fillId="0" borderId="13" xfId="9" applyBorder="1" applyAlignment="1">
      <alignment horizontal="center" vertical="top" wrapText="1"/>
    </xf>
    <xf numFmtId="0" fontId="9" fillId="0" borderId="36" xfId="9" applyBorder="1" applyAlignment="1">
      <alignment horizontal="center" vertical="center" wrapText="1"/>
    </xf>
    <xf numFmtId="0" fontId="9" fillId="0" borderId="44" xfId="9" applyBorder="1" applyAlignment="1">
      <alignment horizontal="center" vertical="center"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5" fillId="0" borderId="58" xfId="0" applyFont="1" applyBorder="1" applyAlignment="1">
      <alignment horizontal="center"/>
    </xf>
    <xf numFmtId="0" fontId="5" fillId="0" borderId="6" xfId="0" applyFont="1" applyBorder="1" applyAlignment="1">
      <alignment horizontal="center"/>
    </xf>
    <xf numFmtId="0" fontId="5" fillId="0" borderId="59" xfId="0" applyFont="1" applyBorder="1" applyAlignment="1">
      <alignment horizontal="center"/>
    </xf>
    <xf numFmtId="0" fontId="87" fillId="0" borderId="0" xfId="0" applyFont="1" applyAlignment="1">
      <alignment horizontal="left" vertical="top" wrapText="1"/>
    </xf>
    <xf numFmtId="0" fontId="5" fillId="7" borderId="58" xfId="0" applyFont="1" applyFill="1" applyBorder="1" applyAlignment="1">
      <alignment horizontal="center"/>
    </xf>
    <xf numFmtId="0" fontId="5" fillId="7" borderId="6" xfId="0" applyFont="1" applyFill="1" applyBorder="1" applyAlignment="1">
      <alignment horizontal="center"/>
    </xf>
    <xf numFmtId="0" fontId="5" fillId="7" borderId="59" xfId="0" applyFont="1" applyFill="1" applyBorder="1" applyAlignment="1">
      <alignment horizontal="center"/>
    </xf>
    <xf numFmtId="3" fontId="7" fillId="0" borderId="0" xfId="0" applyNumberFormat="1" applyFont="1" applyAlignment="1">
      <alignment horizontal="left" vertical="top" wrapText="1"/>
    </xf>
    <xf numFmtId="3" fontId="7" fillId="0" borderId="10" xfId="0" applyNumberFormat="1" applyFont="1" applyBorder="1" applyAlignment="1">
      <alignment horizontal="left" vertical="top" wrapText="1"/>
    </xf>
    <xf numFmtId="0" fontId="62" fillId="0" borderId="27" xfId="0" applyFont="1" applyBorder="1" applyAlignment="1">
      <alignment horizontal="left" vertical="center" wrapText="1"/>
    </xf>
    <xf numFmtId="0" fontId="62" fillId="0" borderId="56" xfId="0" applyFont="1" applyBorder="1" applyAlignment="1">
      <alignment horizontal="left" vertical="center" wrapText="1"/>
    </xf>
    <xf numFmtId="0" fontId="62" fillId="0" borderId="57" xfId="0" applyFont="1" applyBorder="1" applyAlignment="1">
      <alignment horizontal="left" vertical="center" wrapText="1"/>
    </xf>
    <xf numFmtId="0" fontId="62" fillId="0" borderId="7" xfId="0" applyFont="1" applyBorder="1" applyAlignment="1">
      <alignment horizontal="left" vertical="center" wrapText="1"/>
    </xf>
    <xf numFmtId="0" fontId="62" fillId="0" borderId="0" xfId="0" applyFont="1" applyAlignment="1">
      <alignment horizontal="left" vertical="center" wrapText="1"/>
    </xf>
    <xf numFmtId="0" fontId="62" fillId="0" borderId="10" xfId="0" applyFont="1" applyBorder="1" applyAlignment="1">
      <alignment horizontal="left" vertical="center" wrapText="1"/>
    </xf>
    <xf numFmtId="0" fontId="62" fillId="0" borderId="8" xfId="0" applyFont="1" applyBorder="1" applyAlignment="1">
      <alignment horizontal="left" vertical="center" wrapText="1"/>
    </xf>
    <xf numFmtId="0" fontId="62" fillId="0" borderId="1" xfId="0" applyFont="1" applyBorder="1" applyAlignment="1">
      <alignment horizontal="left" vertical="center" wrapText="1"/>
    </xf>
    <xf numFmtId="0" fontId="62" fillId="0" borderId="9" xfId="0" applyFont="1" applyBorder="1" applyAlignment="1">
      <alignment horizontal="left" vertical="center" wrapText="1"/>
    </xf>
    <xf numFmtId="3" fontId="7" fillId="0" borderId="0" xfId="0" applyNumberFormat="1" applyFont="1" applyAlignment="1">
      <alignment horizontal="left" vertical="center" wrapText="1"/>
    </xf>
    <xf numFmtId="3" fontId="7" fillId="0" borderId="10" xfId="0" applyNumberFormat="1" applyFont="1" applyBorder="1" applyAlignment="1">
      <alignment horizontal="left" vertical="center" wrapText="1"/>
    </xf>
    <xf numFmtId="0" fontId="5" fillId="0" borderId="58" xfId="0" applyFont="1" applyBorder="1" applyAlignment="1">
      <alignment horizontal="center" wrapText="1"/>
    </xf>
    <xf numFmtId="0" fontId="7" fillId="0" borderId="59" xfId="0" applyFont="1" applyBorder="1" applyAlignment="1">
      <alignment horizontal="center" wrapText="1"/>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1"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wrapText="1"/>
    </xf>
    <xf numFmtId="0" fontId="7" fillId="0" borderId="9" xfId="0" applyFont="1" applyBorder="1" applyAlignment="1">
      <alignment horizontal="left" wrapText="1"/>
    </xf>
    <xf numFmtId="0" fontId="7" fillId="0" borderId="0" xfId="0" applyFont="1" applyAlignment="1">
      <alignment horizontal="left"/>
    </xf>
    <xf numFmtId="0" fontId="7" fillId="0" borderId="10" xfId="0" applyFont="1" applyBorder="1" applyAlignment="1">
      <alignment horizontal="left"/>
    </xf>
    <xf numFmtId="0" fontId="16" fillId="0" borderId="0" xfId="0" applyFont="1" applyAlignment="1">
      <alignment horizontal="center" vertical="center" wrapText="1"/>
    </xf>
    <xf numFmtId="0" fontId="9" fillId="0" borderId="0" xfId="0" applyFont="1" applyAlignment="1">
      <alignment horizontal="center" vertical="center" wrapText="1"/>
    </xf>
    <xf numFmtId="3" fontId="14" fillId="0" borderId="0" xfId="0" applyNumberFormat="1" applyFont="1" applyAlignment="1">
      <alignment horizontal="center" vertical="center"/>
    </xf>
    <xf numFmtId="0" fontId="7" fillId="0" borderId="7" xfId="0" applyFont="1" applyBorder="1" applyAlignment="1">
      <alignment horizontal="left" wrapText="1"/>
    </xf>
    <xf numFmtId="0" fontId="7" fillId="0" borderId="10" xfId="0" applyFont="1" applyBorder="1" applyAlignment="1">
      <alignment horizontal="left" wrapText="1"/>
    </xf>
    <xf numFmtId="0" fontId="11" fillId="7" borderId="58" xfId="0" applyFont="1" applyFill="1" applyBorder="1" applyAlignment="1">
      <alignment horizontal="left" wrapText="1"/>
    </xf>
    <xf numFmtId="0" fontId="11" fillId="7" borderId="6" xfId="0" applyFont="1" applyFill="1" applyBorder="1" applyAlignment="1">
      <alignment horizontal="left" wrapText="1"/>
    </xf>
    <xf numFmtId="0" fontId="11" fillId="7" borderId="59" xfId="0" applyFont="1" applyFill="1" applyBorder="1" applyAlignment="1">
      <alignment horizontal="left" wrapText="1"/>
    </xf>
    <xf numFmtId="0" fontId="7" fillId="0" borderId="6" xfId="0" applyFont="1" applyBorder="1" applyAlignment="1">
      <alignment horizontal="center" wrapText="1"/>
    </xf>
    <xf numFmtId="0" fontId="66" fillId="0" borderId="27" xfId="0" applyFont="1" applyBorder="1" applyAlignment="1">
      <alignment horizontal="left" vertical="center" wrapText="1"/>
    </xf>
    <xf numFmtId="0" fontId="66" fillId="0" borderId="57" xfId="0" applyFont="1" applyBorder="1" applyAlignment="1">
      <alignment horizontal="left" vertical="center" wrapText="1"/>
    </xf>
    <xf numFmtId="0" fontId="66" fillId="0" borderId="7" xfId="0" applyFont="1" applyBorder="1" applyAlignment="1">
      <alignment horizontal="left" vertical="center" wrapText="1"/>
    </xf>
    <xf numFmtId="0" fontId="66" fillId="0" borderId="10" xfId="0" applyFont="1" applyBorder="1" applyAlignment="1">
      <alignment horizontal="left" vertical="center" wrapText="1"/>
    </xf>
    <xf numFmtId="0" fontId="66" fillId="0" borderId="8" xfId="0" applyFont="1" applyBorder="1" applyAlignment="1">
      <alignment horizontal="left" vertical="center" wrapText="1"/>
    </xf>
    <xf numFmtId="0" fontId="66" fillId="0" borderId="9" xfId="0" applyFont="1" applyBorder="1" applyAlignment="1">
      <alignment horizontal="left" vertical="center" wrapText="1"/>
    </xf>
    <xf numFmtId="0" fontId="9" fillId="0" borderId="0" xfId="9" applyAlignment="1">
      <alignment vertical="top" wrapText="1"/>
    </xf>
    <xf numFmtId="0" fontId="4" fillId="0" borderId="36" xfId="9" applyFont="1" applyBorder="1" applyAlignment="1">
      <alignment horizontal="center" vertical="center" wrapText="1"/>
    </xf>
    <xf numFmtId="0" fontId="4" fillId="0" borderId="44" xfId="9" applyFont="1" applyBorder="1" applyAlignment="1">
      <alignment horizontal="center" vertical="center" wrapText="1"/>
    </xf>
    <xf numFmtId="0" fontId="36" fillId="0" borderId="0" xfId="9" applyFont="1" applyAlignment="1">
      <alignment horizontal="center"/>
    </xf>
    <xf numFmtId="0" fontId="9" fillId="0" borderId="0" xfId="9" applyAlignment="1">
      <alignment horizontal="center"/>
    </xf>
    <xf numFmtId="3" fontId="35" fillId="0" borderId="0" xfId="9" applyNumberFormat="1" applyFont="1" applyAlignment="1">
      <alignment horizontal="center" vertical="center"/>
    </xf>
    <xf numFmtId="0" fontId="9" fillId="0" borderId="0" xfId="9" applyAlignment="1">
      <alignment horizontal="center" vertical="center"/>
    </xf>
    <xf numFmtId="0" fontId="4" fillId="0" borderId="18" xfId="9" applyFont="1" applyBorder="1" applyAlignment="1">
      <alignment horizontal="center" vertical="center" wrapText="1"/>
    </xf>
    <xf numFmtId="0" fontId="4" fillId="0" borderId="17" xfId="9" applyFont="1" applyBorder="1" applyAlignment="1">
      <alignment wrapText="1"/>
    </xf>
    <xf numFmtId="0" fontId="4" fillId="0" borderId="14" xfId="9" applyFont="1" applyBorder="1" applyAlignment="1">
      <alignment horizontal="center" vertical="center" wrapText="1"/>
    </xf>
    <xf numFmtId="0" fontId="4" fillId="0" borderId="13" xfId="9" applyFont="1" applyBorder="1" applyAlignment="1">
      <alignment wrapText="1"/>
    </xf>
    <xf numFmtId="0" fontId="4" fillId="0" borderId="17" xfId="9" applyFont="1" applyBorder="1" applyAlignment="1">
      <alignment horizontal="center" vertical="center" wrapText="1"/>
    </xf>
    <xf numFmtId="0" fontId="4" fillId="0" borderId="13" xfId="9" applyFont="1" applyBorder="1" applyAlignment="1">
      <alignment horizontal="center" vertical="center" wrapText="1"/>
    </xf>
    <xf numFmtId="0" fontId="9" fillId="0" borderId="42" xfId="9" applyBorder="1" applyAlignment="1">
      <alignment horizontal="center" vertical="center" wrapText="1"/>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wrapText="1"/>
    </xf>
    <xf numFmtId="0" fontId="0" fillId="0" borderId="15" xfId="0" applyBorder="1" applyAlignment="1">
      <alignment horizontal="center" wrapText="1"/>
    </xf>
    <xf numFmtId="0" fontId="0" fillId="0" borderId="14" xfId="0" applyBorder="1" applyAlignment="1">
      <alignment horizontal="center" wrapText="1"/>
    </xf>
    <xf numFmtId="0" fontId="0" fillId="0" borderId="13" xfId="0" applyBorder="1" applyAlignment="1">
      <alignment horizontal="center" wrapText="1"/>
    </xf>
    <xf numFmtId="0" fontId="5" fillId="0" borderId="18" xfId="0" applyFont="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36" fillId="0" borderId="0" xfId="0" applyFont="1" applyAlignment="1">
      <alignment horizontal="center" vertical="center"/>
    </xf>
    <xf numFmtId="3" fontId="35" fillId="0" borderId="0" xfId="0" applyNumberFormat="1" applyFont="1" applyAlignment="1">
      <alignment horizontal="center" vertical="center"/>
    </xf>
    <xf numFmtId="3" fontId="49" fillId="0" borderId="18" xfId="0" applyNumberFormat="1" applyFont="1" applyBorder="1" applyAlignment="1">
      <alignment horizontal="center" vertical="center" wrapText="1"/>
    </xf>
    <xf numFmtId="0" fontId="50" fillId="0" borderId="17" xfId="0" applyFont="1" applyBorder="1" applyAlignment="1">
      <alignment wrapText="1"/>
    </xf>
    <xf numFmtId="0" fontId="50" fillId="0" borderId="16" xfId="0" applyFont="1" applyBorder="1" applyAlignment="1">
      <alignment wrapText="1"/>
    </xf>
    <xf numFmtId="0" fontId="50" fillId="0" borderId="15" xfId="0" applyFont="1" applyBorder="1" applyAlignment="1">
      <alignment wrapText="1"/>
    </xf>
    <xf numFmtId="0" fontId="50" fillId="0" borderId="14" xfId="0" applyFont="1" applyBorder="1" applyAlignment="1">
      <alignment wrapText="1"/>
    </xf>
    <xf numFmtId="0" fontId="50" fillId="0" borderId="13" xfId="0" applyFont="1" applyBorder="1" applyAlignment="1">
      <alignment wrapText="1"/>
    </xf>
    <xf numFmtId="3" fontId="49" fillId="0" borderId="12" xfId="0" applyNumberFormat="1" applyFont="1" applyBorder="1" applyAlignment="1">
      <alignment horizontal="center" vertical="center"/>
    </xf>
    <xf numFmtId="0" fontId="48" fillId="0" borderId="19" xfId="0" applyFont="1" applyBorder="1" applyAlignment="1">
      <alignment horizontal="center" vertical="center"/>
    </xf>
    <xf numFmtId="0" fontId="48" fillId="0" borderId="51" xfId="0" applyFont="1" applyBorder="1" applyAlignment="1">
      <alignment horizontal="center" vertical="center"/>
    </xf>
    <xf numFmtId="0" fontId="5" fillId="0" borderId="17" xfId="0" applyFont="1" applyBorder="1" applyAlignment="1">
      <alignment wrapText="1"/>
    </xf>
    <xf numFmtId="0" fontId="5" fillId="0" borderId="16" xfId="0" applyFont="1" applyBorder="1" applyAlignment="1">
      <alignment wrapText="1"/>
    </xf>
    <xf numFmtId="0" fontId="5" fillId="0" borderId="15" xfId="0" applyFont="1" applyBorder="1" applyAlignment="1">
      <alignment wrapText="1"/>
    </xf>
    <xf numFmtId="0" fontId="5" fillId="0" borderId="14" xfId="0" applyFont="1" applyBorder="1" applyAlignment="1">
      <alignment wrapText="1"/>
    </xf>
    <xf numFmtId="0" fontId="5" fillId="0" borderId="13" xfId="0" applyFont="1" applyBorder="1" applyAlignment="1">
      <alignment wrapText="1"/>
    </xf>
    <xf numFmtId="0" fontId="5" fillId="0" borderId="36"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4" xfId="0" applyFont="1" applyBorder="1" applyAlignment="1">
      <alignment horizontal="center" vertical="center" wrapText="1"/>
    </xf>
    <xf numFmtId="3" fontId="35" fillId="0" borderId="0" xfId="9" applyNumberFormat="1" applyFont="1" applyAlignment="1">
      <alignment horizontal="center"/>
    </xf>
    <xf numFmtId="0" fontId="9" fillId="0" borderId="12" xfId="9" applyBorder="1" applyAlignment="1">
      <alignment horizontal="center"/>
    </xf>
    <xf numFmtId="0" fontId="9" fillId="0" borderId="51" xfId="9" applyBorder="1" applyAlignment="1">
      <alignment horizontal="center"/>
    </xf>
    <xf numFmtId="0" fontId="9" fillId="0" borderId="18" xfId="9" applyBorder="1" applyAlignment="1">
      <alignment horizontal="center" wrapText="1"/>
    </xf>
    <xf numFmtId="0" fontId="9" fillId="0" borderId="17" xfId="9" applyBorder="1" applyAlignment="1">
      <alignment wrapText="1"/>
    </xf>
    <xf numFmtId="0" fontId="9" fillId="0" borderId="14" xfId="9" applyBorder="1" applyAlignment="1">
      <alignment horizontal="center" wrapText="1"/>
    </xf>
    <xf numFmtId="0" fontId="9" fillId="0" borderId="13" xfId="9" applyBorder="1" applyAlignment="1">
      <alignment wrapText="1"/>
    </xf>
    <xf numFmtId="0" fontId="9" fillId="0" borderId="18" xfId="9" applyBorder="1" applyAlignment="1">
      <alignment horizontal="center" vertical="center" wrapText="1"/>
    </xf>
    <xf numFmtId="0" fontId="9" fillId="0" borderId="17" xfId="9" applyBorder="1" applyAlignment="1">
      <alignment horizontal="center" vertical="center" wrapText="1"/>
    </xf>
    <xf numFmtId="0" fontId="9" fillId="0" borderId="14" xfId="9" applyBorder="1" applyAlignment="1">
      <alignment horizontal="center" vertical="center" wrapText="1"/>
    </xf>
    <xf numFmtId="0" fontId="9" fillId="0" borderId="13" xfId="9" applyBorder="1" applyAlignment="1">
      <alignment horizontal="center" vertical="center" wrapText="1"/>
    </xf>
    <xf numFmtId="0" fontId="9" fillId="0" borderId="36" xfId="9" applyBorder="1" applyAlignment="1">
      <alignment horizontal="center" wrapText="1"/>
    </xf>
    <xf numFmtId="0" fontId="9" fillId="0" borderId="44" xfId="9" applyBorder="1" applyAlignment="1">
      <alignment horizontal="center" wrapText="1"/>
    </xf>
    <xf numFmtId="0" fontId="9" fillId="0" borderId="0" xfId="9" applyAlignment="1">
      <alignment horizontal="left" vertical="top" wrapText="1"/>
    </xf>
    <xf numFmtId="0" fontId="0" fillId="0" borderId="0" xfId="0" applyAlignment="1">
      <alignment horizontal="left" vertical="top" wrapText="1"/>
    </xf>
    <xf numFmtId="0" fontId="25" fillId="0" borderId="0" xfId="9" applyFont="1" applyAlignment="1">
      <alignment horizontal="center"/>
    </xf>
    <xf numFmtId="0" fontId="9" fillId="0" borderId="0" xfId="9"/>
    <xf numFmtId="3" fontId="40" fillId="0" borderId="0" xfId="9" applyNumberFormat="1" applyFont="1" applyAlignment="1">
      <alignment horizontal="center"/>
    </xf>
    <xf numFmtId="0" fontId="65" fillId="0" borderId="0" xfId="9" applyFont="1" applyAlignment="1">
      <alignment horizontal="left" vertical="center" wrapText="1"/>
    </xf>
    <xf numFmtId="0" fontId="9" fillId="0" borderId="0" xfId="9" applyAlignment="1">
      <alignment horizontal="left" vertical="center" wrapText="1"/>
    </xf>
    <xf numFmtId="0" fontId="7" fillId="0" borderId="0" xfId="0" quotePrefix="1" applyFont="1" applyAlignment="1">
      <alignment horizontal="center" vertical="center"/>
    </xf>
    <xf numFmtId="0" fontId="7" fillId="0" borderId="10" xfId="0" applyFont="1" applyBorder="1" applyAlignment="1">
      <alignment horizontal="center" vertical="center"/>
    </xf>
    <xf numFmtId="0" fontId="64" fillId="0" borderId="0" xfId="0" applyFont="1" applyAlignment="1">
      <alignment horizontal="center" vertical="center"/>
    </xf>
    <xf numFmtId="0" fontId="7" fillId="0" borderId="0" xfId="0" applyFont="1"/>
    <xf numFmtId="0" fontId="7" fillId="0" borderId="10" xfId="0" quotePrefix="1" applyFont="1" applyBorder="1" applyAlignment="1">
      <alignment horizontal="center" vertical="center"/>
    </xf>
    <xf numFmtId="14" fontId="78" fillId="5" borderId="0" xfId="0" applyNumberFormat="1" applyFont="1" applyFill="1" applyAlignment="1">
      <alignment horizontal="center" vertical="top"/>
    </xf>
    <xf numFmtId="0" fontId="78" fillId="5" borderId="15" xfId="0" applyFont="1" applyFill="1" applyBorder="1" applyAlignment="1">
      <alignment horizontal="center" vertical="top"/>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5" fillId="0" borderId="58" xfId="0" applyFont="1" applyBorder="1" applyAlignment="1">
      <alignment horizontal="center" vertical="top" wrapText="1"/>
    </xf>
    <xf numFmtId="0" fontId="5" fillId="0" borderId="6" xfId="0" applyFont="1" applyBorder="1" applyAlignment="1">
      <alignment horizontal="center" vertical="top" wrapText="1"/>
    </xf>
    <xf numFmtId="0" fontId="5" fillId="0" borderId="59" xfId="0" applyFont="1" applyBorder="1" applyAlignment="1">
      <alignment horizontal="center" vertical="top" wrapText="1"/>
    </xf>
    <xf numFmtId="0" fontId="7" fillId="0" borderId="60" xfId="0" applyFont="1" applyBorder="1" applyAlignment="1">
      <alignment horizontal="center" vertical="center" wrapText="1"/>
    </xf>
    <xf numFmtId="0" fontId="7" fillId="0" borderId="24" xfId="0" applyFont="1" applyBorder="1" applyAlignment="1">
      <alignment horizontal="center" vertical="center" wrapText="1"/>
    </xf>
    <xf numFmtId="0" fontId="7" fillId="5" borderId="16" xfId="0" applyFont="1" applyFill="1" applyBorder="1" applyAlignment="1">
      <alignment vertical="top"/>
    </xf>
    <xf numFmtId="0" fontId="7" fillId="5" borderId="0" xfId="0" applyFont="1" applyFill="1" applyAlignment="1">
      <alignment vertical="top"/>
    </xf>
    <xf numFmtId="0" fontId="7" fillId="5" borderId="15" xfId="0" applyFont="1" applyFill="1" applyBorder="1" applyAlignment="1">
      <alignment vertical="top"/>
    </xf>
    <xf numFmtId="0" fontId="7" fillId="0" borderId="7" xfId="0" applyFont="1" applyBorder="1" applyAlignment="1">
      <alignment vertical="top"/>
    </xf>
    <xf numFmtId="0" fontId="7" fillId="0" borderId="0" xfId="0" applyFont="1" applyAlignment="1">
      <alignment vertical="top"/>
    </xf>
    <xf numFmtId="0" fontId="78" fillId="5" borderId="0" xfId="0" applyFont="1" applyFill="1" applyAlignment="1">
      <alignment horizontal="center" vertical="top"/>
    </xf>
    <xf numFmtId="0" fontId="7" fillId="0" borderId="16" xfId="0" applyFont="1" applyBorder="1" applyAlignment="1">
      <alignment vertical="top"/>
    </xf>
    <xf numFmtId="0" fontId="7" fillId="0" borderId="58" xfId="0" applyFont="1" applyBorder="1" applyAlignment="1">
      <alignment horizontal="left" vertical="top"/>
    </xf>
    <xf numFmtId="0" fontId="7" fillId="0" borderId="6" xfId="0" applyFont="1" applyBorder="1" applyAlignment="1">
      <alignment horizontal="left" vertical="top"/>
    </xf>
    <xf numFmtId="0" fontId="7" fillId="5" borderId="6" xfId="0" applyFont="1" applyFill="1" applyBorder="1" applyAlignment="1">
      <alignment vertical="top"/>
    </xf>
    <xf numFmtId="0" fontId="7" fillId="5" borderId="59" xfId="0" applyFont="1" applyFill="1" applyBorder="1" applyAlignment="1">
      <alignment vertical="top"/>
    </xf>
    <xf numFmtId="0" fontId="7" fillId="0" borderId="78" xfId="0" applyFont="1" applyBorder="1" applyAlignment="1">
      <alignment horizontal="center" vertical="top"/>
    </xf>
    <xf numFmtId="0" fontId="7" fillId="0" borderId="79" xfId="0" applyFont="1" applyBorder="1" applyAlignment="1">
      <alignment horizontal="center" vertical="top"/>
    </xf>
    <xf numFmtId="0" fontId="7" fillId="0" borderId="27" xfId="0" applyFont="1" applyBorder="1" applyAlignment="1">
      <alignment vertical="top"/>
    </xf>
    <xf numFmtId="0" fontId="7" fillId="0" borderId="56" xfId="0" applyFont="1" applyBorder="1" applyAlignment="1">
      <alignment vertical="top"/>
    </xf>
    <xf numFmtId="0" fontId="5" fillId="0" borderId="0" xfId="0" applyFont="1" applyAlignment="1">
      <alignment vertical="center"/>
    </xf>
    <xf numFmtId="0" fontId="7" fillId="0" borderId="0" xfId="0" applyFont="1" applyAlignment="1">
      <alignment vertical="center"/>
    </xf>
    <xf numFmtId="0" fontId="78" fillId="5" borderId="56" xfId="0" applyFont="1" applyFill="1" applyBorder="1" applyAlignment="1">
      <alignment horizontal="center" vertical="top"/>
    </xf>
    <xf numFmtId="0" fontId="78" fillId="5" borderId="75" xfId="0" applyFont="1" applyFill="1" applyBorder="1" applyAlignment="1">
      <alignment horizontal="center" vertical="top"/>
    </xf>
    <xf numFmtId="0" fontId="7" fillId="0" borderId="74" xfId="0" applyFont="1" applyBorder="1" applyAlignment="1">
      <alignment vertical="top"/>
    </xf>
    <xf numFmtId="0" fontId="7" fillId="0" borderId="10" xfId="0" applyFont="1" applyBorder="1"/>
    <xf numFmtId="0" fontId="5" fillId="0" borderId="0" xfId="0" applyFont="1"/>
    <xf numFmtId="0" fontId="7" fillId="0" borderId="8" xfId="0" applyFont="1" applyBorder="1" applyAlignment="1">
      <alignment horizontal="center" vertical="top"/>
    </xf>
    <xf numFmtId="0" fontId="7" fillId="0" borderId="1" xfId="0" applyFont="1" applyBorder="1" applyAlignment="1">
      <alignment horizontal="center" vertical="top"/>
    </xf>
    <xf numFmtId="0" fontId="7" fillId="0" borderId="9" xfId="0" applyFont="1" applyBorder="1" applyAlignment="1">
      <alignment horizontal="center" vertical="top"/>
    </xf>
    <xf numFmtId="0" fontId="7" fillId="5" borderId="74" xfId="0" applyFont="1" applyFill="1" applyBorder="1" applyAlignment="1">
      <alignment vertical="top"/>
    </xf>
    <xf numFmtId="0" fontId="7" fillId="5" borderId="56" xfId="0" applyFont="1" applyFill="1" applyBorder="1" applyAlignment="1">
      <alignment vertical="top"/>
    </xf>
    <xf numFmtId="0" fontId="7" fillId="5" borderId="75" xfId="0" applyFont="1" applyFill="1" applyBorder="1" applyAlignment="1">
      <alignment vertical="top"/>
    </xf>
    <xf numFmtId="0" fontId="7" fillId="0" borderId="61" xfId="0" applyFont="1" applyBorder="1" applyAlignment="1">
      <alignment horizontal="center" vertical="top" wrapText="1"/>
    </xf>
    <xf numFmtId="0" fontId="7" fillId="0" borderId="24" xfId="0" applyFont="1" applyBorder="1" applyAlignment="1">
      <alignment horizontal="center" vertical="top" wrapText="1"/>
    </xf>
    <xf numFmtId="0" fontId="7" fillId="0" borderId="61" xfId="0" applyFont="1" applyBorder="1" applyAlignment="1">
      <alignment horizontal="center" vertical="center" wrapText="1"/>
    </xf>
    <xf numFmtId="0" fontId="7" fillId="0" borderId="7" xfId="0" applyFont="1" applyBorder="1" applyAlignment="1">
      <alignment horizontal="center" vertical="top"/>
    </xf>
    <xf numFmtId="0" fontId="7" fillId="0" borderId="0" xfId="0" applyFont="1" applyAlignment="1">
      <alignment horizontal="center" vertical="top"/>
    </xf>
    <xf numFmtId="0" fontId="7" fillId="0" borderId="10" xfId="0" applyFont="1" applyBorder="1" applyAlignment="1">
      <alignment horizontal="center" vertical="top"/>
    </xf>
    <xf numFmtId="0" fontId="7" fillId="0" borderId="10" xfId="0" applyFont="1" applyBorder="1" applyAlignment="1">
      <alignment vertical="top"/>
    </xf>
    <xf numFmtId="0" fontId="7" fillId="0" borderId="8" xfId="0" applyFont="1" applyBorder="1" applyAlignment="1">
      <alignment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7" fillId="0" borderId="60" xfId="0" applyFont="1" applyBorder="1" applyAlignment="1">
      <alignment horizontal="center" vertical="top" wrapText="1"/>
    </xf>
    <xf numFmtId="0" fontId="7" fillId="0" borderId="27" xfId="0" applyFont="1" applyBorder="1" applyAlignment="1">
      <alignment horizontal="center" vertical="top"/>
    </xf>
    <xf numFmtId="0" fontId="7" fillId="0" borderId="56" xfId="0" applyFont="1" applyBorder="1" applyAlignment="1">
      <alignment horizontal="center" vertical="top"/>
    </xf>
    <xf numFmtId="0" fontId="7" fillId="0" borderId="57" xfId="0" applyFont="1" applyBorder="1" applyAlignment="1">
      <alignment horizontal="center" vertical="top"/>
    </xf>
    <xf numFmtId="0" fontId="7" fillId="0" borderId="27" xfId="0" applyFont="1" applyBorder="1" applyAlignment="1">
      <alignment horizontal="center" vertical="top" wrapText="1"/>
    </xf>
    <xf numFmtId="0" fontId="7" fillId="0" borderId="56" xfId="0" applyFont="1" applyBorder="1" applyAlignment="1">
      <alignment horizontal="center" vertical="top" wrapText="1"/>
    </xf>
    <xf numFmtId="0" fontId="5" fillId="0" borderId="72" xfId="0" applyFont="1" applyBorder="1" applyAlignment="1">
      <alignment horizontal="left" vertical="top"/>
    </xf>
    <xf numFmtId="0" fontId="7" fillId="0" borderId="63" xfId="0" applyFont="1" applyBorder="1" applyAlignment="1">
      <alignment horizontal="left"/>
    </xf>
    <xf numFmtId="0" fontId="7" fillId="0" borderId="73" xfId="0" applyFont="1" applyBorder="1" applyAlignment="1">
      <alignment horizontal="left"/>
    </xf>
    <xf numFmtId="0" fontId="7" fillId="0" borderId="8" xfId="0" applyFont="1" applyBorder="1" applyAlignment="1">
      <alignment vertical="top"/>
    </xf>
    <xf numFmtId="0" fontId="7" fillId="0" borderId="1" xfId="0" applyFont="1" applyBorder="1" applyAlignment="1">
      <alignment vertical="top"/>
    </xf>
    <xf numFmtId="0" fontId="7" fillId="0" borderId="9" xfId="0" applyFont="1" applyBorder="1" applyAlignment="1">
      <alignment vertical="top"/>
    </xf>
    <xf numFmtId="0" fontId="5" fillId="0" borderId="63" xfId="0" applyFont="1" applyBorder="1" applyAlignment="1">
      <alignment horizontal="left" vertical="top"/>
    </xf>
    <xf numFmtId="0" fontId="7" fillId="0" borderId="8" xfId="0" applyFont="1" applyBorder="1" applyAlignment="1">
      <alignment horizontal="center"/>
    </xf>
    <xf numFmtId="0" fontId="7" fillId="0" borderId="1" xfId="0" applyFont="1" applyBorder="1" applyAlignment="1">
      <alignment horizontal="center"/>
    </xf>
  </cellXfs>
  <cellStyles count="31">
    <cellStyle name="Comma" xfId="1" builtinId="3"/>
    <cellStyle name="Comma 2" xfId="2" xr:uid="{00000000-0005-0000-0000-000001000000}"/>
    <cellStyle name="Comma 2 2" xfId="26" xr:uid="{00000000-0005-0000-0000-000002000000}"/>
    <cellStyle name="Comma 3" xfId="3" xr:uid="{00000000-0005-0000-0000-000003000000}"/>
    <cellStyle name="Comma 4" xfId="4" xr:uid="{00000000-0005-0000-0000-000004000000}"/>
    <cellStyle name="Comma 5" xfId="5" xr:uid="{00000000-0005-0000-0000-000005000000}"/>
    <cellStyle name="Currency" xfId="6" builtinId="4"/>
    <cellStyle name="Currency 2" xfId="7" xr:uid="{00000000-0005-0000-0000-000007000000}"/>
    <cellStyle name="Currency 3" xfId="8" xr:uid="{00000000-0005-0000-0000-000008000000}"/>
    <cellStyle name="Normal" xfId="0" builtinId="0"/>
    <cellStyle name="Normal 2" xfId="9" xr:uid="{00000000-0005-0000-0000-00000A000000}"/>
    <cellStyle name="Normal 3" xfId="10" xr:uid="{00000000-0005-0000-0000-00000B000000}"/>
    <cellStyle name="Normal 4" xfId="27" xr:uid="{00000000-0005-0000-0000-00000C000000}"/>
    <cellStyle name="Normal 5" xfId="30" xr:uid="{9B9FF40A-8A1A-4ACD-B580-5D2D2D06F756}"/>
    <cellStyle name="Normal 69 2 2" xfId="28" xr:uid="{00000000-0005-0000-0000-00000D000000}"/>
    <cellStyle name="Normal 69 2 2 2" xfId="29" xr:uid="{00000000-0005-0000-0000-00000E000000}"/>
    <cellStyle name="Normal_03-00 UPS" xfId="11" xr:uid="{00000000-0005-0000-0000-00000F000000}"/>
    <cellStyle name="Normal_ADITAnalysisID090805" xfId="12" xr:uid="{00000000-0005-0000-0000-000010000000}"/>
    <cellStyle name="Normal_F" xfId="13" xr:uid="{00000000-0005-0000-0000-000011000000}"/>
    <cellStyle name="Normal_FN1 Ratebase Draft SPP template (6-11-04) v2" xfId="14" xr:uid="{00000000-0005-0000-0000-000012000000}"/>
    <cellStyle name="Percent" xfId="15" builtinId="5"/>
    <cellStyle name="Percent 2" xfId="16" xr:uid="{00000000-0005-0000-0000-000014000000}"/>
    <cellStyle name="Percent 3" xfId="17" xr:uid="{00000000-0005-0000-0000-000015000000}"/>
    <cellStyle name="PSChar" xfId="18" xr:uid="{00000000-0005-0000-0000-000016000000}"/>
    <cellStyle name="PSDate" xfId="19" xr:uid="{00000000-0005-0000-0000-000017000000}"/>
    <cellStyle name="PSDec" xfId="20" xr:uid="{00000000-0005-0000-0000-000018000000}"/>
    <cellStyle name="PSHeading" xfId="21" xr:uid="{00000000-0005-0000-0000-000019000000}"/>
    <cellStyle name="PSInt" xfId="22" xr:uid="{00000000-0005-0000-0000-00001A000000}"/>
    <cellStyle name="PSSpacer" xfId="23" xr:uid="{00000000-0005-0000-0000-00001B000000}"/>
    <cellStyle name="SAPBEXstdItemX" xfId="24" xr:uid="{00000000-0005-0000-0000-00001C000000}"/>
    <cellStyle name="Total" xfId="25" builtin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F1F6"/>
      <rgbColor rgb="00C5EAEE"/>
      <rgbColor rgb="00FFFFFF"/>
      <rgbColor rgb="00FFFDBF"/>
      <rgbColor rgb="00CCE3E3"/>
      <rgbColor rgb="00C6F9C1"/>
      <rgbColor rgb="00FF988C"/>
      <rgbColor rgb="00F8E5C8"/>
      <rgbColor rgb="00EAF1F6"/>
      <rgbColor rgb="00A6E5F4"/>
      <rgbColor rgb="00D4DFEF"/>
      <rgbColor rgb="00FFF843"/>
      <rgbColor rgb="00A2C3EA"/>
      <rgbColor rgb="0094D88F"/>
      <rgbColor rgb="00FF6758"/>
      <rgbColor rgb="00FDBB71"/>
      <rgbColor rgb="00BFBFB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00"/>
      <color rgb="FF00FF99"/>
      <color rgb="FF006600"/>
      <color rgb="FFFF9900"/>
      <color rgb="FF0000FF"/>
      <color rgb="FF66FF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externalLinkPath" Target="file:///W:\SD%20Accounting%20Drive\2015%20FERC%20Rate%20Case%20-%20SPP\2015%20filed%20in%202016\SPP_2015_TFR%20final.xls"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workbookViewId="0">
      <selection sqref="A1:B1"/>
    </sheetView>
  </sheetViews>
  <sheetFormatPr defaultRowHeight="13.2"/>
  <cols>
    <col min="1" max="1" width="98.6640625" bestFit="1" customWidth="1"/>
    <col min="2" max="2" width="12.109375" customWidth="1"/>
    <col min="9" max="9" width="15.6640625" customWidth="1"/>
  </cols>
  <sheetData>
    <row r="1" spans="1:12" ht="21">
      <c r="A1" s="913" t="s">
        <v>544</v>
      </c>
      <c r="B1" s="913"/>
      <c r="D1" s="726"/>
      <c r="E1" s="726"/>
      <c r="F1" s="726"/>
      <c r="G1" s="726"/>
      <c r="H1" s="726"/>
      <c r="I1" s="726"/>
    </row>
    <row r="2" spans="1:12" ht="20.399999999999999">
      <c r="A2" s="914" t="str">
        <f>Inputs!B2</f>
        <v>(For Rate Year Beginning April 1, 2026, Based on December 31, 2025 Data)</v>
      </c>
      <c r="B2" s="914"/>
      <c r="J2" s="200"/>
      <c r="K2" s="200"/>
      <c r="L2" s="200"/>
    </row>
    <row r="5" spans="1:12">
      <c r="A5" s="231" t="s">
        <v>545</v>
      </c>
      <c r="B5" s="187" t="s">
        <v>546</v>
      </c>
    </row>
    <row r="7" spans="1:12">
      <c r="A7" s="600" t="s">
        <v>544</v>
      </c>
      <c r="B7" s="613">
        <v>1</v>
      </c>
    </row>
    <row r="8" spans="1:12">
      <c r="A8" s="600" t="s">
        <v>556</v>
      </c>
      <c r="B8" s="756" t="s">
        <v>1421</v>
      </c>
    </row>
    <row r="9" spans="1:12">
      <c r="A9" s="600" t="s">
        <v>716</v>
      </c>
      <c r="B9" s="757" t="s">
        <v>1422</v>
      </c>
    </row>
    <row r="10" spans="1:12">
      <c r="A10" s="600" t="s">
        <v>550</v>
      </c>
      <c r="B10" s="756" t="s">
        <v>1423</v>
      </c>
    </row>
    <row r="11" spans="1:12">
      <c r="A11" s="600" t="s">
        <v>1446</v>
      </c>
      <c r="B11" s="613">
        <v>11</v>
      </c>
    </row>
    <row r="12" spans="1:12">
      <c r="A12" s="600" t="s">
        <v>991</v>
      </c>
      <c r="B12" s="613">
        <v>12</v>
      </c>
    </row>
    <row r="13" spans="1:12">
      <c r="A13" s="600" t="s">
        <v>1447</v>
      </c>
      <c r="B13" s="613">
        <v>13</v>
      </c>
    </row>
    <row r="14" spans="1:12">
      <c r="A14" s="600" t="s">
        <v>992</v>
      </c>
      <c r="B14" s="613">
        <v>14</v>
      </c>
    </row>
    <row r="15" spans="1:12">
      <c r="A15" s="600" t="s">
        <v>1448</v>
      </c>
      <c r="B15" s="613">
        <v>15</v>
      </c>
    </row>
    <row r="16" spans="1:12">
      <c r="A16" s="600" t="s">
        <v>993</v>
      </c>
      <c r="B16" s="613">
        <v>16</v>
      </c>
    </row>
    <row r="17" spans="1:9">
      <c r="A17" s="600" t="s">
        <v>994</v>
      </c>
      <c r="B17" s="613">
        <v>17</v>
      </c>
    </row>
    <row r="18" spans="1:9">
      <c r="A18" s="600" t="s">
        <v>995</v>
      </c>
      <c r="B18" s="613">
        <v>18</v>
      </c>
    </row>
    <row r="19" spans="1:9">
      <c r="A19" s="600" t="s">
        <v>555</v>
      </c>
      <c r="B19" s="756">
        <v>19</v>
      </c>
    </row>
    <row r="20" spans="1:9">
      <c r="A20" s="600" t="s">
        <v>547</v>
      </c>
      <c r="B20" s="756">
        <v>2</v>
      </c>
    </row>
    <row r="21" spans="1:9">
      <c r="A21" s="600" t="s">
        <v>548</v>
      </c>
      <c r="B21" s="756">
        <v>21</v>
      </c>
    </row>
    <row r="22" spans="1:9">
      <c r="A22" s="600" t="s">
        <v>549</v>
      </c>
      <c r="B22" s="756">
        <v>22</v>
      </c>
    </row>
    <row r="23" spans="1:9">
      <c r="A23" s="600" t="s">
        <v>551</v>
      </c>
      <c r="B23" s="756">
        <v>23</v>
      </c>
    </row>
    <row r="24" spans="1:9">
      <c r="A24" s="600" t="s">
        <v>552</v>
      </c>
      <c r="B24" s="756">
        <v>24</v>
      </c>
    </row>
    <row r="25" spans="1:9">
      <c r="A25" s="600" t="s">
        <v>553</v>
      </c>
      <c r="B25" s="756">
        <v>25</v>
      </c>
    </row>
    <row r="26" spans="1:9">
      <c r="A26" s="600" t="s">
        <v>554</v>
      </c>
      <c r="B26" s="756" t="s">
        <v>1370</v>
      </c>
    </row>
    <row r="27" spans="1:9">
      <c r="A27" s="600" t="s">
        <v>759</v>
      </c>
      <c r="B27" s="756">
        <v>28</v>
      </c>
    </row>
    <row r="28" spans="1:9">
      <c r="A28" s="600" t="s">
        <v>760</v>
      </c>
      <c r="B28" s="756">
        <v>29</v>
      </c>
    </row>
    <row r="29" spans="1:9">
      <c r="A29" s="600" t="s">
        <v>987</v>
      </c>
      <c r="B29" s="756" t="s">
        <v>1371</v>
      </c>
      <c r="C29" s="600"/>
      <c r="D29" s="600"/>
      <c r="E29" s="600"/>
      <c r="F29" s="600"/>
      <c r="G29" s="600"/>
      <c r="H29" s="600"/>
    </row>
    <row r="30" spans="1:9">
      <c r="A30" s="600" t="s">
        <v>1412</v>
      </c>
      <c r="B30" s="613">
        <v>44</v>
      </c>
      <c r="I30" s="21"/>
    </row>
    <row r="31" spans="1:9">
      <c r="H31" s="21"/>
    </row>
    <row r="32" spans="1:9">
      <c r="H32" s="21"/>
    </row>
    <row r="33" spans="8:9">
      <c r="H33" s="21"/>
    </row>
    <row r="34" spans="8:9">
      <c r="H34" s="21"/>
    </row>
    <row r="35" spans="8:9">
      <c r="H35" s="21"/>
    </row>
    <row r="36" spans="8:9">
      <c r="I36" s="21"/>
    </row>
    <row r="37" spans="8:9">
      <c r="I37" s="21"/>
    </row>
    <row r="38" spans="8:9">
      <c r="I38" s="21"/>
    </row>
    <row r="39" spans="8:9">
      <c r="I39" s="21"/>
    </row>
    <row r="40" spans="8:9">
      <c r="I40" s="21"/>
    </row>
    <row r="41" spans="8:9">
      <c r="I41" s="21"/>
    </row>
    <row r="42" spans="8:9">
      <c r="I42" s="21"/>
    </row>
    <row r="43" spans="8:9">
      <c r="I43" s="21"/>
    </row>
    <row r="44" spans="8:9">
      <c r="I44" s="21"/>
    </row>
    <row r="45" spans="8:9">
      <c r="I45" s="21"/>
    </row>
    <row r="46" spans="8:9">
      <c r="I46" s="21"/>
    </row>
    <row r="47" spans="8:9">
      <c r="I47" s="21"/>
    </row>
    <row r="48" spans="8:9">
      <c r="I48" s="21"/>
    </row>
    <row r="49" spans="9:9">
      <c r="I49" s="21"/>
    </row>
    <row r="50" spans="9:9">
      <c r="I50" s="21"/>
    </row>
    <row r="51" spans="9:9">
      <c r="I51" s="21"/>
    </row>
    <row r="52" spans="9:9">
      <c r="I52" s="21"/>
    </row>
    <row r="53" spans="9:9">
      <c r="I53" s="21"/>
    </row>
    <row r="54" spans="9:9">
      <c r="I54" s="21"/>
    </row>
    <row r="55" spans="9:9">
      <c r="I55" s="21"/>
    </row>
    <row r="56" spans="9:9">
      <c r="I56" s="21"/>
    </row>
    <row r="57" spans="9:9">
      <c r="I57" s="21"/>
    </row>
  </sheetData>
  <mergeCells count="2">
    <mergeCell ref="A1:B1"/>
    <mergeCell ref="A2:B2"/>
  </mergeCells>
  <phoneticPr fontId="41" type="noConversion"/>
  <pageMargins left="0.5" right="0.5" top="1.3645833333333333" bottom="1" header="0.5" footer="0.5"/>
  <pageSetup scale="86" orientation="portrait" r:id="rId1"/>
  <headerFooter alignWithMargins="0">
    <oddHeader>&amp;C&amp;"Times New Roman,Bold"&amp;16ADDENDUM 27 TO ATTACHMENT H, Page &amp;P of &amp;N
NorthWestern Corporation (South Dakota)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K58"/>
  <sheetViews>
    <sheetView workbookViewId="0"/>
  </sheetViews>
  <sheetFormatPr defaultRowHeight="13.2"/>
  <cols>
    <col min="1" max="1" width="2" style="791" customWidth="1"/>
    <col min="2" max="2" width="5.6640625" style="791" customWidth="1"/>
    <col min="3" max="3" width="8.33203125" style="804" customWidth="1"/>
    <col min="4" max="4" width="51.33203125" style="791" customWidth="1"/>
    <col min="5" max="5" width="22.88671875" style="791" customWidth="1"/>
    <col min="6" max="6" width="16.44140625" style="791" customWidth="1"/>
    <col min="7" max="8" width="16.5546875" style="791" customWidth="1"/>
    <col min="9" max="9" width="12.6640625" style="791" customWidth="1"/>
    <col min="10" max="10" width="17.109375" style="791" customWidth="1"/>
    <col min="11" max="11" width="25.109375" style="791" bestFit="1" customWidth="1"/>
    <col min="12" max="256" width="9.109375" style="791"/>
    <col min="257" max="257" width="2" style="791" customWidth="1"/>
    <col min="258" max="258" width="5.6640625" style="791" customWidth="1"/>
    <col min="259" max="259" width="8.33203125" style="791" customWidth="1"/>
    <col min="260" max="260" width="51.33203125" style="791" customWidth="1"/>
    <col min="261" max="261" width="22.88671875" style="791" customWidth="1"/>
    <col min="262" max="262" width="16.44140625" style="791" customWidth="1"/>
    <col min="263" max="264" width="16.5546875" style="791" customWidth="1"/>
    <col min="265" max="265" width="12.6640625" style="791" customWidth="1"/>
    <col min="266" max="266" width="17.109375" style="791" customWidth="1"/>
    <col min="267" max="267" width="25.109375" style="791" bestFit="1" customWidth="1"/>
    <col min="268" max="512" width="9.109375" style="791"/>
    <col min="513" max="513" width="2" style="791" customWidth="1"/>
    <col min="514" max="514" width="5.6640625" style="791" customWidth="1"/>
    <col min="515" max="515" width="8.33203125" style="791" customWidth="1"/>
    <col min="516" max="516" width="51.33203125" style="791" customWidth="1"/>
    <col min="517" max="517" width="22.88671875" style="791" customWidth="1"/>
    <col min="518" max="518" width="16.44140625" style="791" customWidth="1"/>
    <col min="519" max="520" width="16.5546875" style="791" customWidth="1"/>
    <col min="521" max="521" width="12.6640625" style="791" customWidth="1"/>
    <col min="522" max="522" width="17.109375" style="791" customWidth="1"/>
    <col min="523" max="523" width="25.109375" style="791" bestFit="1" customWidth="1"/>
    <col min="524" max="768" width="9.109375" style="791"/>
    <col min="769" max="769" width="2" style="791" customWidth="1"/>
    <col min="770" max="770" width="5.6640625" style="791" customWidth="1"/>
    <col min="771" max="771" width="8.33203125" style="791" customWidth="1"/>
    <col min="772" max="772" width="51.33203125" style="791" customWidth="1"/>
    <col min="773" max="773" width="22.88671875" style="791" customWidth="1"/>
    <col min="774" max="774" width="16.44140625" style="791" customWidth="1"/>
    <col min="775" max="776" width="16.5546875" style="791" customWidth="1"/>
    <col min="777" max="777" width="12.6640625" style="791" customWidth="1"/>
    <col min="778" max="778" width="17.109375" style="791" customWidth="1"/>
    <col min="779" max="779" width="25.109375" style="791" bestFit="1" customWidth="1"/>
    <col min="780" max="1024" width="9.109375" style="791"/>
    <col min="1025" max="1025" width="2" style="791" customWidth="1"/>
    <col min="1026" max="1026" width="5.6640625" style="791" customWidth="1"/>
    <col min="1027" max="1027" width="8.33203125" style="791" customWidth="1"/>
    <col min="1028" max="1028" width="51.33203125" style="791" customWidth="1"/>
    <col min="1029" max="1029" width="22.88671875" style="791" customWidth="1"/>
    <col min="1030" max="1030" width="16.44140625" style="791" customWidth="1"/>
    <col min="1031" max="1032" width="16.5546875" style="791" customWidth="1"/>
    <col min="1033" max="1033" width="12.6640625" style="791" customWidth="1"/>
    <col min="1034" max="1034" width="17.109375" style="791" customWidth="1"/>
    <col min="1035" max="1035" width="25.109375" style="791" bestFit="1" customWidth="1"/>
    <col min="1036" max="1280" width="9.109375" style="791"/>
    <col min="1281" max="1281" width="2" style="791" customWidth="1"/>
    <col min="1282" max="1282" width="5.6640625" style="791" customWidth="1"/>
    <col min="1283" max="1283" width="8.33203125" style="791" customWidth="1"/>
    <col min="1284" max="1284" width="51.33203125" style="791" customWidth="1"/>
    <col min="1285" max="1285" width="22.88671875" style="791" customWidth="1"/>
    <col min="1286" max="1286" width="16.44140625" style="791" customWidth="1"/>
    <col min="1287" max="1288" width="16.5546875" style="791" customWidth="1"/>
    <col min="1289" max="1289" width="12.6640625" style="791" customWidth="1"/>
    <col min="1290" max="1290" width="17.109375" style="791" customWidth="1"/>
    <col min="1291" max="1291" width="25.109375" style="791" bestFit="1" customWidth="1"/>
    <col min="1292" max="1536" width="9.109375" style="791"/>
    <col min="1537" max="1537" width="2" style="791" customWidth="1"/>
    <col min="1538" max="1538" width="5.6640625" style="791" customWidth="1"/>
    <col min="1539" max="1539" width="8.33203125" style="791" customWidth="1"/>
    <col min="1540" max="1540" width="51.33203125" style="791" customWidth="1"/>
    <col min="1541" max="1541" width="22.88671875" style="791" customWidth="1"/>
    <col min="1542" max="1542" width="16.44140625" style="791" customWidth="1"/>
    <col min="1543" max="1544" width="16.5546875" style="791" customWidth="1"/>
    <col min="1545" max="1545" width="12.6640625" style="791" customWidth="1"/>
    <col min="1546" max="1546" width="17.109375" style="791" customWidth="1"/>
    <col min="1547" max="1547" width="25.109375" style="791" bestFit="1" customWidth="1"/>
    <col min="1548" max="1792" width="9.109375" style="791"/>
    <col min="1793" max="1793" width="2" style="791" customWidth="1"/>
    <col min="1794" max="1794" width="5.6640625" style="791" customWidth="1"/>
    <col min="1795" max="1795" width="8.33203125" style="791" customWidth="1"/>
    <col min="1796" max="1796" width="51.33203125" style="791" customWidth="1"/>
    <col min="1797" max="1797" width="22.88671875" style="791" customWidth="1"/>
    <col min="1798" max="1798" width="16.44140625" style="791" customWidth="1"/>
    <col min="1799" max="1800" width="16.5546875" style="791" customWidth="1"/>
    <col min="1801" max="1801" width="12.6640625" style="791" customWidth="1"/>
    <col min="1802" max="1802" width="17.109375" style="791" customWidth="1"/>
    <col min="1803" max="1803" width="25.109375" style="791" bestFit="1" customWidth="1"/>
    <col min="1804" max="2048" width="9.109375" style="791"/>
    <col min="2049" max="2049" width="2" style="791" customWidth="1"/>
    <col min="2050" max="2050" width="5.6640625" style="791" customWidth="1"/>
    <col min="2051" max="2051" width="8.33203125" style="791" customWidth="1"/>
    <col min="2052" max="2052" width="51.33203125" style="791" customWidth="1"/>
    <col min="2053" max="2053" width="22.88671875" style="791" customWidth="1"/>
    <col min="2054" max="2054" width="16.44140625" style="791" customWidth="1"/>
    <col min="2055" max="2056" width="16.5546875" style="791" customWidth="1"/>
    <col min="2057" max="2057" width="12.6640625" style="791" customWidth="1"/>
    <col min="2058" max="2058" width="17.109375" style="791" customWidth="1"/>
    <col min="2059" max="2059" width="25.109375" style="791" bestFit="1" customWidth="1"/>
    <col min="2060" max="2304" width="9.109375" style="791"/>
    <col min="2305" max="2305" width="2" style="791" customWidth="1"/>
    <col min="2306" max="2306" width="5.6640625" style="791" customWidth="1"/>
    <col min="2307" max="2307" width="8.33203125" style="791" customWidth="1"/>
    <col min="2308" max="2308" width="51.33203125" style="791" customWidth="1"/>
    <col min="2309" max="2309" width="22.88671875" style="791" customWidth="1"/>
    <col min="2310" max="2310" width="16.44140625" style="791" customWidth="1"/>
    <col min="2311" max="2312" width="16.5546875" style="791" customWidth="1"/>
    <col min="2313" max="2313" width="12.6640625" style="791" customWidth="1"/>
    <col min="2314" max="2314" width="17.109375" style="791" customWidth="1"/>
    <col min="2315" max="2315" width="25.109375" style="791" bestFit="1" customWidth="1"/>
    <col min="2316" max="2560" width="9.109375" style="791"/>
    <col min="2561" max="2561" width="2" style="791" customWidth="1"/>
    <col min="2562" max="2562" width="5.6640625" style="791" customWidth="1"/>
    <col min="2563" max="2563" width="8.33203125" style="791" customWidth="1"/>
    <col min="2564" max="2564" width="51.33203125" style="791" customWidth="1"/>
    <col min="2565" max="2565" width="22.88671875" style="791" customWidth="1"/>
    <col min="2566" max="2566" width="16.44140625" style="791" customWidth="1"/>
    <col min="2567" max="2568" width="16.5546875" style="791" customWidth="1"/>
    <col min="2569" max="2569" width="12.6640625" style="791" customWidth="1"/>
    <col min="2570" max="2570" width="17.109375" style="791" customWidth="1"/>
    <col min="2571" max="2571" width="25.109375" style="791" bestFit="1" customWidth="1"/>
    <col min="2572" max="2816" width="9.109375" style="791"/>
    <col min="2817" max="2817" width="2" style="791" customWidth="1"/>
    <col min="2818" max="2818" width="5.6640625" style="791" customWidth="1"/>
    <col min="2819" max="2819" width="8.33203125" style="791" customWidth="1"/>
    <col min="2820" max="2820" width="51.33203125" style="791" customWidth="1"/>
    <col min="2821" max="2821" width="22.88671875" style="791" customWidth="1"/>
    <col min="2822" max="2822" width="16.44140625" style="791" customWidth="1"/>
    <col min="2823" max="2824" width="16.5546875" style="791" customWidth="1"/>
    <col min="2825" max="2825" width="12.6640625" style="791" customWidth="1"/>
    <col min="2826" max="2826" width="17.109375" style="791" customWidth="1"/>
    <col min="2827" max="2827" width="25.109375" style="791" bestFit="1" customWidth="1"/>
    <col min="2828" max="3072" width="9.109375" style="791"/>
    <col min="3073" max="3073" width="2" style="791" customWidth="1"/>
    <col min="3074" max="3074" width="5.6640625" style="791" customWidth="1"/>
    <col min="3075" max="3075" width="8.33203125" style="791" customWidth="1"/>
    <col min="3076" max="3076" width="51.33203125" style="791" customWidth="1"/>
    <col min="3077" max="3077" width="22.88671875" style="791" customWidth="1"/>
    <col min="3078" max="3078" width="16.44140625" style="791" customWidth="1"/>
    <col min="3079" max="3080" width="16.5546875" style="791" customWidth="1"/>
    <col min="3081" max="3081" width="12.6640625" style="791" customWidth="1"/>
    <col min="3082" max="3082" width="17.109375" style="791" customWidth="1"/>
    <col min="3083" max="3083" width="25.109375" style="791" bestFit="1" customWidth="1"/>
    <col min="3084" max="3328" width="9.109375" style="791"/>
    <col min="3329" max="3329" width="2" style="791" customWidth="1"/>
    <col min="3330" max="3330" width="5.6640625" style="791" customWidth="1"/>
    <col min="3331" max="3331" width="8.33203125" style="791" customWidth="1"/>
    <col min="3332" max="3332" width="51.33203125" style="791" customWidth="1"/>
    <col min="3333" max="3333" width="22.88671875" style="791" customWidth="1"/>
    <col min="3334" max="3334" width="16.44140625" style="791" customWidth="1"/>
    <col min="3335" max="3336" width="16.5546875" style="791" customWidth="1"/>
    <col min="3337" max="3337" width="12.6640625" style="791" customWidth="1"/>
    <col min="3338" max="3338" width="17.109375" style="791" customWidth="1"/>
    <col min="3339" max="3339" width="25.109375" style="791" bestFit="1" customWidth="1"/>
    <col min="3340" max="3584" width="9.109375" style="791"/>
    <col min="3585" max="3585" width="2" style="791" customWidth="1"/>
    <col min="3586" max="3586" width="5.6640625" style="791" customWidth="1"/>
    <col min="3587" max="3587" width="8.33203125" style="791" customWidth="1"/>
    <col min="3588" max="3588" width="51.33203125" style="791" customWidth="1"/>
    <col min="3589" max="3589" width="22.88671875" style="791" customWidth="1"/>
    <col min="3590" max="3590" width="16.44140625" style="791" customWidth="1"/>
    <col min="3591" max="3592" width="16.5546875" style="791" customWidth="1"/>
    <col min="3593" max="3593" width="12.6640625" style="791" customWidth="1"/>
    <col min="3594" max="3594" width="17.109375" style="791" customWidth="1"/>
    <col min="3595" max="3595" width="25.109375" style="791" bestFit="1" customWidth="1"/>
    <col min="3596" max="3840" width="9.109375" style="791"/>
    <col min="3841" max="3841" width="2" style="791" customWidth="1"/>
    <col min="3842" max="3842" width="5.6640625" style="791" customWidth="1"/>
    <col min="3843" max="3843" width="8.33203125" style="791" customWidth="1"/>
    <col min="3844" max="3844" width="51.33203125" style="791" customWidth="1"/>
    <col min="3845" max="3845" width="22.88671875" style="791" customWidth="1"/>
    <col min="3846" max="3846" width="16.44140625" style="791" customWidth="1"/>
    <col min="3847" max="3848" width="16.5546875" style="791" customWidth="1"/>
    <col min="3849" max="3849" width="12.6640625" style="791" customWidth="1"/>
    <col min="3850" max="3850" width="17.109375" style="791" customWidth="1"/>
    <col min="3851" max="3851" width="25.109375" style="791" bestFit="1" customWidth="1"/>
    <col min="3852" max="4096" width="9.109375" style="791"/>
    <col min="4097" max="4097" width="2" style="791" customWidth="1"/>
    <col min="4098" max="4098" width="5.6640625" style="791" customWidth="1"/>
    <col min="4099" max="4099" width="8.33203125" style="791" customWidth="1"/>
    <col min="4100" max="4100" width="51.33203125" style="791" customWidth="1"/>
    <col min="4101" max="4101" width="22.88671875" style="791" customWidth="1"/>
    <col min="4102" max="4102" width="16.44140625" style="791" customWidth="1"/>
    <col min="4103" max="4104" width="16.5546875" style="791" customWidth="1"/>
    <col min="4105" max="4105" width="12.6640625" style="791" customWidth="1"/>
    <col min="4106" max="4106" width="17.109375" style="791" customWidth="1"/>
    <col min="4107" max="4107" width="25.109375" style="791" bestFit="1" customWidth="1"/>
    <col min="4108" max="4352" width="9.109375" style="791"/>
    <col min="4353" max="4353" width="2" style="791" customWidth="1"/>
    <col min="4354" max="4354" width="5.6640625" style="791" customWidth="1"/>
    <col min="4355" max="4355" width="8.33203125" style="791" customWidth="1"/>
    <col min="4356" max="4356" width="51.33203125" style="791" customWidth="1"/>
    <col min="4357" max="4357" width="22.88671875" style="791" customWidth="1"/>
    <col min="4358" max="4358" width="16.44140625" style="791" customWidth="1"/>
    <col min="4359" max="4360" width="16.5546875" style="791" customWidth="1"/>
    <col min="4361" max="4361" width="12.6640625" style="791" customWidth="1"/>
    <col min="4362" max="4362" width="17.109375" style="791" customWidth="1"/>
    <col min="4363" max="4363" width="25.109375" style="791" bestFit="1" customWidth="1"/>
    <col min="4364" max="4608" width="9.109375" style="791"/>
    <col min="4609" max="4609" width="2" style="791" customWidth="1"/>
    <col min="4610" max="4610" width="5.6640625" style="791" customWidth="1"/>
    <col min="4611" max="4611" width="8.33203125" style="791" customWidth="1"/>
    <col min="4612" max="4612" width="51.33203125" style="791" customWidth="1"/>
    <col min="4613" max="4613" width="22.88671875" style="791" customWidth="1"/>
    <col min="4614" max="4614" width="16.44140625" style="791" customWidth="1"/>
    <col min="4615" max="4616" width="16.5546875" style="791" customWidth="1"/>
    <col min="4617" max="4617" width="12.6640625" style="791" customWidth="1"/>
    <col min="4618" max="4618" width="17.109375" style="791" customWidth="1"/>
    <col min="4619" max="4619" width="25.109375" style="791" bestFit="1" customWidth="1"/>
    <col min="4620" max="4864" width="9.109375" style="791"/>
    <col min="4865" max="4865" width="2" style="791" customWidth="1"/>
    <col min="4866" max="4866" width="5.6640625" style="791" customWidth="1"/>
    <col min="4867" max="4867" width="8.33203125" style="791" customWidth="1"/>
    <col min="4868" max="4868" width="51.33203125" style="791" customWidth="1"/>
    <col min="4869" max="4869" width="22.88671875" style="791" customWidth="1"/>
    <col min="4870" max="4870" width="16.44140625" style="791" customWidth="1"/>
    <col min="4871" max="4872" width="16.5546875" style="791" customWidth="1"/>
    <col min="4873" max="4873" width="12.6640625" style="791" customWidth="1"/>
    <col min="4874" max="4874" width="17.109375" style="791" customWidth="1"/>
    <col min="4875" max="4875" width="25.109375" style="791" bestFit="1" customWidth="1"/>
    <col min="4876" max="5120" width="9.109375" style="791"/>
    <col min="5121" max="5121" width="2" style="791" customWidth="1"/>
    <col min="5122" max="5122" width="5.6640625" style="791" customWidth="1"/>
    <col min="5123" max="5123" width="8.33203125" style="791" customWidth="1"/>
    <col min="5124" max="5124" width="51.33203125" style="791" customWidth="1"/>
    <col min="5125" max="5125" width="22.88671875" style="791" customWidth="1"/>
    <col min="5126" max="5126" width="16.44140625" style="791" customWidth="1"/>
    <col min="5127" max="5128" width="16.5546875" style="791" customWidth="1"/>
    <col min="5129" max="5129" width="12.6640625" style="791" customWidth="1"/>
    <col min="5130" max="5130" width="17.109375" style="791" customWidth="1"/>
    <col min="5131" max="5131" width="25.109375" style="791" bestFit="1" customWidth="1"/>
    <col min="5132" max="5376" width="9.109375" style="791"/>
    <col min="5377" max="5377" width="2" style="791" customWidth="1"/>
    <col min="5378" max="5378" width="5.6640625" style="791" customWidth="1"/>
    <col min="5379" max="5379" width="8.33203125" style="791" customWidth="1"/>
    <col min="5380" max="5380" width="51.33203125" style="791" customWidth="1"/>
    <col min="5381" max="5381" width="22.88671875" style="791" customWidth="1"/>
    <col min="5382" max="5382" width="16.44140625" style="791" customWidth="1"/>
    <col min="5383" max="5384" width="16.5546875" style="791" customWidth="1"/>
    <col min="5385" max="5385" width="12.6640625" style="791" customWidth="1"/>
    <col min="5386" max="5386" width="17.109375" style="791" customWidth="1"/>
    <col min="5387" max="5387" width="25.109375" style="791" bestFit="1" customWidth="1"/>
    <col min="5388" max="5632" width="9.109375" style="791"/>
    <col min="5633" max="5633" width="2" style="791" customWidth="1"/>
    <col min="5634" max="5634" width="5.6640625" style="791" customWidth="1"/>
    <col min="5635" max="5635" width="8.33203125" style="791" customWidth="1"/>
    <col min="5636" max="5636" width="51.33203125" style="791" customWidth="1"/>
    <col min="5637" max="5637" width="22.88671875" style="791" customWidth="1"/>
    <col min="5638" max="5638" width="16.44140625" style="791" customWidth="1"/>
    <col min="5639" max="5640" width="16.5546875" style="791" customWidth="1"/>
    <col min="5641" max="5641" width="12.6640625" style="791" customWidth="1"/>
    <col min="5642" max="5642" width="17.109375" style="791" customWidth="1"/>
    <col min="5643" max="5643" width="25.109375" style="791" bestFit="1" customWidth="1"/>
    <col min="5644" max="5888" width="9.109375" style="791"/>
    <col min="5889" max="5889" width="2" style="791" customWidth="1"/>
    <col min="5890" max="5890" width="5.6640625" style="791" customWidth="1"/>
    <col min="5891" max="5891" width="8.33203125" style="791" customWidth="1"/>
    <col min="5892" max="5892" width="51.33203125" style="791" customWidth="1"/>
    <col min="5893" max="5893" width="22.88671875" style="791" customWidth="1"/>
    <col min="5894" max="5894" width="16.44140625" style="791" customWidth="1"/>
    <col min="5895" max="5896" width="16.5546875" style="791" customWidth="1"/>
    <col min="5897" max="5897" width="12.6640625" style="791" customWidth="1"/>
    <col min="5898" max="5898" width="17.109375" style="791" customWidth="1"/>
    <col min="5899" max="5899" width="25.109375" style="791" bestFit="1" customWidth="1"/>
    <col min="5900" max="6144" width="9.109375" style="791"/>
    <col min="6145" max="6145" width="2" style="791" customWidth="1"/>
    <col min="6146" max="6146" width="5.6640625" style="791" customWidth="1"/>
    <col min="6147" max="6147" width="8.33203125" style="791" customWidth="1"/>
    <col min="6148" max="6148" width="51.33203125" style="791" customWidth="1"/>
    <col min="6149" max="6149" width="22.88671875" style="791" customWidth="1"/>
    <col min="6150" max="6150" width="16.44140625" style="791" customWidth="1"/>
    <col min="6151" max="6152" width="16.5546875" style="791" customWidth="1"/>
    <col min="6153" max="6153" width="12.6640625" style="791" customWidth="1"/>
    <col min="6154" max="6154" width="17.109375" style="791" customWidth="1"/>
    <col min="6155" max="6155" width="25.109375" style="791" bestFit="1" customWidth="1"/>
    <col min="6156" max="6400" width="9.109375" style="791"/>
    <col min="6401" max="6401" width="2" style="791" customWidth="1"/>
    <col min="6402" max="6402" width="5.6640625" style="791" customWidth="1"/>
    <col min="6403" max="6403" width="8.33203125" style="791" customWidth="1"/>
    <col min="6404" max="6404" width="51.33203125" style="791" customWidth="1"/>
    <col min="6405" max="6405" width="22.88671875" style="791" customWidth="1"/>
    <col min="6406" max="6406" width="16.44140625" style="791" customWidth="1"/>
    <col min="6407" max="6408" width="16.5546875" style="791" customWidth="1"/>
    <col min="6409" max="6409" width="12.6640625" style="791" customWidth="1"/>
    <col min="6410" max="6410" width="17.109375" style="791" customWidth="1"/>
    <col min="6411" max="6411" width="25.109375" style="791" bestFit="1" customWidth="1"/>
    <col min="6412" max="6656" width="9.109375" style="791"/>
    <col min="6657" max="6657" width="2" style="791" customWidth="1"/>
    <col min="6658" max="6658" width="5.6640625" style="791" customWidth="1"/>
    <col min="6659" max="6659" width="8.33203125" style="791" customWidth="1"/>
    <col min="6660" max="6660" width="51.33203125" style="791" customWidth="1"/>
    <col min="6661" max="6661" width="22.88671875" style="791" customWidth="1"/>
    <col min="6662" max="6662" width="16.44140625" style="791" customWidth="1"/>
    <col min="6663" max="6664" width="16.5546875" style="791" customWidth="1"/>
    <col min="6665" max="6665" width="12.6640625" style="791" customWidth="1"/>
    <col min="6666" max="6666" width="17.109375" style="791" customWidth="1"/>
    <col min="6667" max="6667" width="25.109375" style="791" bestFit="1" customWidth="1"/>
    <col min="6668" max="6912" width="9.109375" style="791"/>
    <col min="6913" max="6913" width="2" style="791" customWidth="1"/>
    <col min="6914" max="6914" width="5.6640625" style="791" customWidth="1"/>
    <col min="6915" max="6915" width="8.33203125" style="791" customWidth="1"/>
    <col min="6916" max="6916" width="51.33203125" style="791" customWidth="1"/>
    <col min="6917" max="6917" width="22.88671875" style="791" customWidth="1"/>
    <col min="6918" max="6918" width="16.44140625" style="791" customWidth="1"/>
    <col min="6919" max="6920" width="16.5546875" style="791" customWidth="1"/>
    <col min="6921" max="6921" width="12.6640625" style="791" customWidth="1"/>
    <col min="6922" max="6922" width="17.109375" style="791" customWidth="1"/>
    <col min="6923" max="6923" width="25.109375" style="791" bestFit="1" customWidth="1"/>
    <col min="6924" max="7168" width="9.109375" style="791"/>
    <col min="7169" max="7169" width="2" style="791" customWidth="1"/>
    <col min="7170" max="7170" width="5.6640625" style="791" customWidth="1"/>
    <col min="7171" max="7171" width="8.33203125" style="791" customWidth="1"/>
    <col min="7172" max="7172" width="51.33203125" style="791" customWidth="1"/>
    <col min="7173" max="7173" width="22.88671875" style="791" customWidth="1"/>
    <col min="7174" max="7174" width="16.44140625" style="791" customWidth="1"/>
    <col min="7175" max="7176" width="16.5546875" style="791" customWidth="1"/>
    <col min="7177" max="7177" width="12.6640625" style="791" customWidth="1"/>
    <col min="7178" max="7178" width="17.109375" style="791" customWidth="1"/>
    <col min="7179" max="7179" width="25.109375" style="791" bestFit="1" customWidth="1"/>
    <col min="7180" max="7424" width="9.109375" style="791"/>
    <col min="7425" max="7425" width="2" style="791" customWidth="1"/>
    <col min="7426" max="7426" width="5.6640625" style="791" customWidth="1"/>
    <col min="7427" max="7427" width="8.33203125" style="791" customWidth="1"/>
    <col min="7428" max="7428" width="51.33203125" style="791" customWidth="1"/>
    <col min="7429" max="7429" width="22.88671875" style="791" customWidth="1"/>
    <col min="7430" max="7430" width="16.44140625" style="791" customWidth="1"/>
    <col min="7431" max="7432" width="16.5546875" style="791" customWidth="1"/>
    <col min="7433" max="7433" width="12.6640625" style="791" customWidth="1"/>
    <col min="7434" max="7434" width="17.109375" style="791" customWidth="1"/>
    <col min="7435" max="7435" width="25.109375" style="791" bestFit="1" customWidth="1"/>
    <col min="7436" max="7680" width="9.109375" style="791"/>
    <col min="7681" max="7681" width="2" style="791" customWidth="1"/>
    <col min="7682" max="7682" width="5.6640625" style="791" customWidth="1"/>
    <col min="7683" max="7683" width="8.33203125" style="791" customWidth="1"/>
    <col min="7684" max="7684" width="51.33203125" style="791" customWidth="1"/>
    <col min="7685" max="7685" width="22.88671875" style="791" customWidth="1"/>
    <col min="7686" max="7686" width="16.44140625" style="791" customWidth="1"/>
    <col min="7687" max="7688" width="16.5546875" style="791" customWidth="1"/>
    <col min="7689" max="7689" width="12.6640625" style="791" customWidth="1"/>
    <col min="7690" max="7690" width="17.109375" style="791" customWidth="1"/>
    <col min="7691" max="7691" width="25.109375" style="791" bestFit="1" customWidth="1"/>
    <col min="7692" max="7936" width="9.109375" style="791"/>
    <col min="7937" max="7937" width="2" style="791" customWidth="1"/>
    <col min="7938" max="7938" width="5.6640625" style="791" customWidth="1"/>
    <col min="7939" max="7939" width="8.33203125" style="791" customWidth="1"/>
    <col min="7940" max="7940" width="51.33203125" style="791" customWidth="1"/>
    <col min="7941" max="7941" width="22.88671875" style="791" customWidth="1"/>
    <col min="7942" max="7942" width="16.44140625" style="791" customWidth="1"/>
    <col min="7943" max="7944" width="16.5546875" style="791" customWidth="1"/>
    <col min="7945" max="7945" width="12.6640625" style="791" customWidth="1"/>
    <col min="7946" max="7946" width="17.109375" style="791" customWidth="1"/>
    <col min="7947" max="7947" width="25.109375" style="791" bestFit="1" customWidth="1"/>
    <col min="7948" max="8192" width="9.109375" style="791"/>
    <col min="8193" max="8193" width="2" style="791" customWidth="1"/>
    <col min="8194" max="8194" width="5.6640625" style="791" customWidth="1"/>
    <col min="8195" max="8195" width="8.33203125" style="791" customWidth="1"/>
    <col min="8196" max="8196" width="51.33203125" style="791" customWidth="1"/>
    <col min="8197" max="8197" width="22.88671875" style="791" customWidth="1"/>
    <col min="8198" max="8198" width="16.44140625" style="791" customWidth="1"/>
    <col min="8199" max="8200" width="16.5546875" style="791" customWidth="1"/>
    <col min="8201" max="8201" width="12.6640625" style="791" customWidth="1"/>
    <col min="8202" max="8202" width="17.109375" style="791" customWidth="1"/>
    <col min="8203" max="8203" width="25.109375" style="791" bestFit="1" customWidth="1"/>
    <col min="8204" max="8448" width="9.109375" style="791"/>
    <col min="8449" max="8449" width="2" style="791" customWidth="1"/>
    <col min="8450" max="8450" width="5.6640625" style="791" customWidth="1"/>
    <col min="8451" max="8451" width="8.33203125" style="791" customWidth="1"/>
    <col min="8452" max="8452" width="51.33203125" style="791" customWidth="1"/>
    <col min="8453" max="8453" width="22.88671875" style="791" customWidth="1"/>
    <col min="8454" max="8454" width="16.44140625" style="791" customWidth="1"/>
    <col min="8455" max="8456" width="16.5546875" style="791" customWidth="1"/>
    <col min="8457" max="8457" width="12.6640625" style="791" customWidth="1"/>
    <col min="8458" max="8458" width="17.109375" style="791" customWidth="1"/>
    <col min="8459" max="8459" width="25.109375" style="791" bestFit="1" customWidth="1"/>
    <col min="8460" max="8704" width="9.109375" style="791"/>
    <col min="8705" max="8705" width="2" style="791" customWidth="1"/>
    <col min="8706" max="8706" width="5.6640625" style="791" customWidth="1"/>
    <col min="8707" max="8707" width="8.33203125" style="791" customWidth="1"/>
    <col min="8708" max="8708" width="51.33203125" style="791" customWidth="1"/>
    <col min="8709" max="8709" width="22.88671875" style="791" customWidth="1"/>
    <col min="8710" max="8710" width="16.44140625" style="791" customWidth="1"/>
    <col min="8711" max="8712" width="16.5546875" style="791" customWidth="1"/>
    <col min="8713" max="8713" width="12.6640625" style="791" customWidth="1"/>
    <col min="8714" max="8714" width="17.109375" style="791" customWidth="1"/>
    <col min="8715" max="8715" width="25.109375" style="791" bestFit="1" customWidth="1"/>
    <col min="8716" max="8960" width="9.109375" style="791"/>
    <col min="8961" max="8961" width="2" style="791" customWidth="1"/>
    <col min="8962" max="8962" width="5.6640625" style="791" customWidth="1"/>
    <col min="8963" max="8963" width="8.33203125" style="791" customWidth="1"/>
    <col min="8964" max="8964" width="51.33203125" style="791" customWidth="1"/>
    <col min="8965" max="8965" width="22.88671875" style="791" customWidth="1"/>
    <col min="8966" max="8966" width="16.44140625" style="791" customWidth="1"/>
    <col min="8967" max="8968" width="16.5546875" style="791" customWidth="1"/>
    <col min="8969" max="8969" width="12.6640625" style="791" customWidth="1"/>
    <col min="8970" max="8970" width="17.109375" style="791" customWidth="1"/>
    <col min="8971" max="8971" width="25.109375" style="791" bestFit="1" customWidth="1"/>
    <col min="8972" max="9216" width="9.109375" style="791"/>
    <col min="9217" max="9217" width="2" style="791" customWidth="1"/>
    <col min="9218" max="9218" width="5.6640625" style="791" customWidth="1"/>
    <col min="9219" max="9219" width="8.33203125" style="791" customWidth="1"/>
    <col min="9220" max="9220" width="51.33203125" style="791" customWidth="1"/>
    <col min="9221" max="9221" width="22.88671875" style="791" customWidth="1"/>
    <col min="9222" max="9222" width="16.44140625" style="791" customWidth="1"/>
    <col min="9223" max="9224" width="16.5546875" style="791" customWidth="1"/>
    <col min="9225" max="9225" width="12.6640625" style="791" customWidth="1"/>
    <col min="9226" max="9226" width="17.109375" style="791" customWidth="1"/>
    <col min="9227" max="9227" width="25.109375" style="791" bestFit="1" customWidth="1"/>
    <col min="9228" max="9472" width="9.109375" style="791"/>
    <col min="9473" max="9473" width="2" style="791" customWidth="1"/>
    <col min="9474" max="9474" width="5.6640625" style="791" customWidth="1"/>
    <col min="9475" max="9475" width="8.33203125" style="791" customWidth="1"/>
    <col min="9476" max="9476" width="51.33203125" style="791" customWidth="1"/>
    <col min="9477" max="9477" width="22.88671875" style="791" customWidth="1"/>
    <col min="9478" max="9478" width="16.44140625" style="791" customWidth="1"/>
    <col min="9479" max="9480" width="16.5546875" style="791" customWidth="1"/>
    <col min="9481" max="9481" width="12.6640625" style="791" customWidth="1"/>
    <col min="9482" max="9482" width="17.109375" style="791" customWidth="1"/>
    <col min="9483" max="9483" width="25.109375" style="791" bestFit="1" customWidth="1"/>
    <col min="9484" max="9728" width="9.109375" style="791"/>
    <col min="9729" max="9729" width="2" style="791" customWidth="1"/>
    <col min="9730" max="9730" width="5.6640625" style="791" customWidth="1"/>
    <col min="9731" max="9731" width="8.33203125" style="791" customWidth="1"/>
    <col min="9732" max="9732" width="51.33203125" style="791" customWidth="1"/>
    <col min="9733" max="9733" width="22.88671875" style="791" customWidth="1"/>
    <col min="9734" max="9734" width="16.44140625" style="791" customWidth="1"/>
    <col min="9735" max="9736" width="16.5546875" style="791" customWidth="1"/>
    <col min="9737" max="9737" width="12.6640625" style="791" customWidth="1"/>
    <col min="9738" max="9738" width="17.109375" style="791" customWidth="1"/>
    <col min="9739" max="9739" width="25.109375" style="791" bestFit="1" customWidth="1"/>
    <col min="9740" max="9984" width="9.109375" style="791"/>
    <col min="9985" max="9985" width="2" style="791" customWidth="1"/>
    <col min="9986" max="9986" width="5.6640625" style="791" customWidth="1"/>
    <col min="9987" max="9987" width="8.33203125" style="791" customWidth="1"/>
    <col min="9988" max="9988" width="51.33203125" style="791" customWidth="1"/>
    <col min="9989" max="9989" width="22.88671875" style="791" customWidth="1"/>
    <col min="9990" max="9990" width="16.44140625" style="791" customWidth="1"/>
    <col min="9991" max="9992" width="16.5546875" style="791" customWidth="1"/>
    <col min="9993" max="9993" width="12.6640625" style="791" customWidth="1"/>
    <col min="9994" max="9994" width="17.109375" style="791" customWidth="1"/>
    <col min="9995" max="9995" width="25.109375" style="791" bestFit="1" customWidth="1"/>
    <col min="9996" max="10240" width="9.109375" style="791"/>
    <col min="10241" max="10241" width="2" style="791" customWidth="1"/>
    <col min="10242" max="10242" width="5.6640625" style="791" customWidth="1"/>
    <col min="10243" max="10243" width="8.33203125" style="791" customWidth="1"/>
    <col min="10244" max="10244" width="51.33203125" style="791" customWidth="1"/>
    <col min="10245" max="10245" width="22.88671875" style="791" customWidth="1"/>
    <col min="10246" max="10246" width="16.44140625" style="791" customWidth="1"/>
    <col min="10247" max="10248" width="16.5546875" style="791" customWidth="1"/>
    <col min="10249" max="10249" width="12.6640625" style="791" customWidth="1"/>
    <col min="10250" max="10250" width="17.109375" style="791" customWidth="1"/>
    <col min="10251" max="10251" width="25.109375" style="791" bestFit="1" customWidth="1"/>
    <col min="10252"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1" width="22.88671875" style="791" customWidth="1"/>
    <col min="10502" max="10502" width="16.44140625" style="791" customWidth="1"/>
    <col min="10503" max="10504" width="16.5546875" style="791" customWidth="1"/>
    <col min="10505" max="10505" width="12.6640625" style="791" customWidth="1"/>
    <col min="10506" max="10506" width="17.109375" style="791" customWidth="1"/>
    <col min="10507" max="10507" width="25.109375" style="791" bestFit="1" customWidth="1"/>
    <col min="10508" max="10752" width="9.109375" style="791"/>
    <col min="10753" max="10753" width="2" style="791" customWidth="1"/>
    <col min="10754" max="10754" width="5.6640625" style="791" customWidth="1"/>
    <col min="10755" max="10755" width="8.33203125" style="791" customWidth="1"/>
    <col min="10756" max="10756" width="51.33203125" style="791" customWidth="1"/>
    <col min="10757" max="10757" width="22.88671875" style="791" customWidth="1"/>
    <col min="10758" max="10758" width="16.44140625" style="791" customWidth="1"/>
    <col min="10759" max="10760" width="16.5546875" style="791" customWidth="1"/>
    <col min="10761" max="10761" width="12.6640625" style="791" customWidth="1"/>
    <col min="10762" max="10762" width="17.109375" style="791" customWidth="1"/>
    <col min="10763" max="10763" width="25.109375" style="791" bestFit="1" customWidth="1"/>
    <col min="10764"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3" width="22.88671875" style="791" customWidth="1"/>
    <col min="11014" max="11014" width="16.44140625" style="791" customWidth="1"/>
    <col min="11015" max="11016" width="16.5546875" style="791" customWidth="1"/>
    <col min="11017" max="11017" width="12.6640625" style="791" customWidth="1"/>
    <col min="11018" max="11018" width="17.109375" style="791" customWidth="1"/>
    <col min="11019" max="11019" width="25.109375" style="791" bestFit="1" customWidth="1"/>
    <col min="11020" max="11264" width="9.109375" style="791"/>
    <col min="11265" max="11265" width="2" style="791" customWidth="1"/>
    <col min="11266" max="11266" width="5.6640625" style="791" customWidth="1"/>
    <col min="11267" max="11267" width="8.33203125" style="791" customWidth="1"/>
    <col min="11268" max="11268" width="51.33203125" style="791" customWidth="1"/>
    <col min="11269" max="11269" width="22.88671875" style="791" customWidth="1"/>
    <col min="11270" max="11270" width="16.44140625" style="791" customWidth="1"/>
    <col min="11271" max="11272" width="16.5546875" style="791" customWidth="1"/>
    <col min="11273" max="11273" width="12.6640625" style="791" customWidth="1"/>
    <col min="11274" max="11274" width="17.109375" style="791" customWidth="1"/>
    <col min="11275" max="11275" width="25.109375" style="791" bestFit="1" customWidth="1"/>
    <col min="11276" max="11520" width="9.109375" style="791"/>
    <col min="11521" max="11521" width="2" style="791" customWidth="1"/>
    <col min="11522" max="11522" width="5.6640625" style="791" customWidth="1"/>
    <col min="11523" max="11523" width="8.33203125" style="791" customWidth="1"/>
    <col min="11524" max="11524" width="51.33203125" style="791" customWidth="1"/>
    <col min="11525" max="11525" width="22.88671875" style="791" customWidth="1"/>
    <col min="11526" max="11526" width="16.44140625" style="791" customWidth="1"/>
    <col min="11527" max="11528" width="16.5546875" style="791" customWidth="1"/>
    <col min="11529" max="11529" width="12.6640625" style="791" customWidth="1"/>
    <col min="11530" max="11530" width="17.109375" style="791" customWidth="1"/>
    <col min="11531" max="11531" width="25.109375" style="791" bestFit="1" customWidth="1"/>
    <col min="11532"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1" width="22.88671875" style="791" customWidth="1"/>
    <col min="11782" max="11782" width="16.44140625" style="791" customWidth="1"/>
    <col min="11783" max="11784" width="16.5546875" style="791" customWidth="1"/>
    <col min="11785" max="11785" width="12.6640625" style="791" customWidth="1"/>
    <col min="11786" max="11786" width="17.109375" style="791" customWidth="1"/>
    <col min="11787" max="11787" width="25.109375" style="791" bestFit="1" customWidth="1"/>
    <col min="11788" max="12032" width="9.109375" style="791"/>
    <col min="12033" max="12033" width="2" style="791" customWidth="1"/>
    <col min="12034" max="12034" width="5.6640625" style="791" customWidth="1"/>
    <col min="12035" max="12035" width="8.33203125" style="791" customWidth="1"/>
    <col min="12036" max="12036" width="51.33203125" style="791" customWidth="1"/>
    <col min="12037" max="12037" width="22.88671875" style="791" customWidth="1"/>
    <col min="12038" max="12038" width="16.44140625" style="791" customWidth="1"/>
    <col min="12039" max="12040" width="16.5546875" style="791" customWidth="1"/>
    <col min="12041" max="12041" width="12.6640625" style="791" customWidth="1"/>
    <col min="12042" max="12042" width="17.109375" style="791" customWidth="1"/>
    <col min="12043" max="12043" width="25.109375" style="791" bestFit="1" customWidth="1"/>
    <col min="12044"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3" width="22.88671875" style="791" customWidth="1"/>
    <col min="12294" max="12294" width="16.44140625" style="791" customWidth="1"/>
    <col min="12295" max="12296" width="16.5546875" style="791" customWidth="1"/>
    <col min="12297" max="12297" width="12.6640625" style="791" customWidth="1"/>
    <col min="12298" max="12298" width="17.109375" style="791" customWidth="1"/>
    <col min="12299" max="12299" width="25.109375" style="791" bestFit="1" customWidth="1"/>
    <col min="12300" max="12544" width="9.109375" style="791"/>
    <col min="12545" max="12545" width="2" style="791" customWidth="1"/>
    <col min="12546" max="12546" width="5.6640625" style="791" customWidth="1"/>
    <col min="12547" max="12547" width="8.33203125" style="791" customWidth="1"/>
    <col min="12548" max="12548" width="51.33203125" style="791" customWidth="1"/>
    <col min="12549" max="12549" width="22.88671875" style="791" customWidth="1"/>
    <col min="12550" max="12550" width="16.44140625" style="791" customWidth="1"/>
    <col min="12551" max="12552" width="16.5546875" style="791" customWidth="1"/>
    <col min="12553" max="12553" width="12.6640625" style="791" customWidth="1"/>
    <col min="12554" max="12554" width="17.109375" style="791" customWidth="1"/>
    <col min="12555" max="12555" width="25.109375" style="791" bestFit="1" customWidth="1"/>
    <col min="12556" max="12800" width="9.109375" style="791"/>
    <col min="12801" max="12801" width="2" style="791" customWidth="1"/>
    <col min="12802" max="12802" width="5.6640625" style="791" customWidth="1"/>
    <col min="12803" max="12803" width="8.33203125" style="791" customWidth="1"/>
    <col min="12804" max="12804" width="51.33203125" style="791" customWidth="1"/>
    <col min="12805" max="12805" width="22.88671875" style="791" customWidth="1"/>
    <col min="12806" max="12806" width="16.44140625" style="791" customWidth="1"/>
    <col min="12807" max="12808" width="16.5546875" style="791" customWidth="1"/>
    <col min="12809" max="12809" width="12.6640625" style="791" customWidth="1"/>
    <col min="12810" max="12810" width="17.109375" style="791" customWidth="1"/>
    <col min="12811" max="12811" width="25.109375" style="791" bestFit="1" customWidth="1"/>
    <col min="12812"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1" width="22.88671875" style="791" customWidth="1"/>
    <col min="13062" max="13062" width="16.44140625" style="791" customWidth="1"/>
    <col min="13063" max="13064" width="16.5546875" style="791" customWidth="1"/>
    <col min="13065" max="13065" width="12.6640625" style="791" customWidth="1"/>
    <col min="13066" max="13066" width="17.109375" style="791" customWidth="1"/>
    <col min="13067" max="13067" width="25.109375" style="791" bestFit="1" customWidth="1"/>
    <col min="13068" max="13312" width="9.109375" style="791"/>
    <col min="13313" max="13313" width="2" style="791" customWidth="1"/>
    <col min="13314" max="13314" width="5.6640625" style="791" customWidth="1"/>
    <col min="13315" max="13315" width="8.33203125" style="791" customWidth="1"/>
    <col min="13316" max="13316" width="51.33203125" style="791" customWidth="1"/>
    <col min="13317" max="13317" width="22.88671875" style="791" customWidth="1"/>
    <col min="13318" max="13318" width="16.44140625" style="791" customWidth="1"/>
    <col min="13319" max="13320" width="16.5546875" style="791" customWidth="1"/>
    <col min="13321" max="13321" width="12.6640625" style="791" customWidth="1"/>
    <col min="13322" max="13322" width="17.109375" style="791" customWidth="1"/>
    <col min="13323" max="13323" width="25.109375" style="791" bestFit="1" customWidth="1"/>
    <col min="13324"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3" width="22.88671875" style="791" customWidth="1"/>
    <col min="13574" max="13574" width="16.44140625" style="791" customWidth="1"/>
    <col min="13575" max="13576" width="16.5546875" style="791" customWidth="1"/>
    <col min="13577" max="13577" width="12.6640625" style="791" customWidth="1"/>
    <col min="13578" max="13578" width="17.109375" style="791" customWidth="1"/>
    <col min="13579" max="13579" width="25.109375" style="791" bestFit="1" customWidth="1"/>
    <col min="13580" max="13824" width="9.109375" style="791"/>
    <col min="13825" max="13825" width="2" style="791" customWidth="1"/>
    <col min="13826" max="13826" width="5.6640625" style="791" customWidth="1"/>
    <col min="13827" max="13827" width="8.33203125" style="791" customWidth="1"/>
    <col min="13828" max="13828" width="51.33203125" style="791" customWidth="1"/>
    <col min="13829" max="13829" width="22.88671875" style="791" customWidth="1"/>
    <col min="13830" max="13830" width="16.44140625" style="791" customWidth="1"/>
    <col min="13831" max="13832" width="16.5546875" style="791" customWidth="1"/>
    <col min="13833" max="13833" width="12.6640625" style="791" customWidth="1"/>
    <col min="13834" max="13834" width="17.109375" style="791" customWidth="1"/>
    <col min="13835" max="13835" width="25.109375" style="791" bestFit="1" customWidth="1"/>
    <col min="13836" max="14080" width="9.109375" style="791"/>
    <col min="14081" max="14081" width="2" style="791" customWidth="1"/>
    <col min="14082" max="14082" width="5.6640625" style="791" customWidth="1"/>
    <col min="14083" max="14083" width="8.33203125" style="791" customWidth="1"/>
    <col min="14084" max="14084" width="51.33203125" style="791" customWidth="1"/>
    <col min="14085" max="14085" width="22.88671875" style="791" customWidth="1"/>
    <col min="14086" max="14086" width="16.44140625" style="791" customWidth="1"/>
    <col min="14087" max="14088" width="16.5546875" style="791" customWidth="1"/>
    <col min="14089" max="14089" width="12.6640625" style="791" customWidth="1"/>
    <col min="14090" max="14090" width="17.109375" style="791" customWidth="1"/>
    <col min="14091" max="14091" width="25.109375" style="791" bestFit="1" customWidth="1"/>
    <col min="14092"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1" width="22.88671875" style="791" customWidth="1"/>
    <col min="14342" max="14342" width="16.44140625" style="791" customWidth="1"/>
    <col min="14343" max="14344" width="16.5546875" style="791" customWidth="1"/>
    <col min="14345" max="14345" width="12.6640625" style="791" customWidth="1"/>
    <col min="14346" max="14346" width="17.109375" style="791" customWidth="1"/>
    <col min="14347" max="14347" width="25.109375" style="791" bestFit="1" customWidth="1"/>
    <col min="14348" max="14592" width="9.109375" style="791"/>
    <col min="14593" max="14593" width="2" style="791" customWidth="1"/>
    <col min="14594" max="14594" width="5.6640625" style="791" customWidth="1"/>
    <col min="14595" max="14595" width="8.33203125" style="791" customWidth="1"/>
    <col min="14596" max="14596" width="51.33203125" style="791" customWidth="1"/>
    <col min="14597" max="14597" width="22.88671875" style="791" customWidth="1"/>
    <col min="14598" max="14598" width="16.44140625" style="791" customWidth="1"/>
    <col min="14599" max="14600" width="16.5546875" style="791" customWidth="1"/>
    <col min="14601" max="14601" width="12.6640625" style="791" customWidth="1"/>
    <col min="14602" max="14602" width="17.109375" style="791" customWidth="1"/>
    <col min="14603" max="14603" width="25.109375" style="791" bestFit="1" customWidth="1"/>
    <col min="14604"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3" width="22.88671875" style="791" customWidth="1"/>
    <col min="14854" max="14854" width="16.44140625" style="791" customWidth="1"/>
    <col min="14855" max="14856" width="16.5546875" style="791" customWidth="1"/>
    <col min="14857" max="14857" width="12.6640625" style="791" customWidth="1"/>
    <col min="14858" max="14858" width="17.109375" style="791" customWidth="1"/>
    <col min="14859" max="14859" width="25.109375" style="791" bestFit="1" customWidth="1"/>
    <col min="14860" max="15104" width="9.109375" style="791"/>
    <col min="15105" max="15105" width="2" style="791" customWidth="1"/>
    <col min="15106" max="15106" width="5.6640625" style="791" customWidth="1"/>
    <col min="15107" max="15107" width="8.33203125" style="791" customWidth="1"/>
    <col min="15108" max="15108" width="51.33203125" style="791" customWidth="1"/>
    <col min="15109" max="15109" width="22.88671875" style="791" customWidth="1"/>
    <col min="15110" max="15110" width="16.44140625" style="791" customWidth="1"/>
    <col min="15111" max="15112" width="16.5546875" style="791" customWidth="1"/>
    <col min="15113" max="15113" width="12.6640625" style="791" customWidth="1"/>
    <col min="15114" max="15114" width="17.109375" style="791" customWidth="1"/>
    <col min="15115" max="15115" width="25.109375" style="791" bestFit="1" customWidth="1"/>
    <col min="15116" max="15360" width="9.109375" style="791"/>
    <col min="15361" max="15361" width="2" style="791" customWidth="1"/>
    <col min="15362" max="15362" width="5.6640625" style="791" customWidth="1"/>
    <col min="15363" max="15363" width="8.33203125" style="791" customWidth="1"/>
    <col min="15364" max="15364" width="51.33203125" style="791" customWidth="1"/>
    <col min="15365" max="15365" width="22.88671875" style="791" customWidth="1"/>
    <col min="15366" max="15366" width="16.44140625" style="791" customWidth="1"/>
    <col min="15367" max="15368" width="16.5546875" style="791" customWidth="1"/>
    <col min="15369" max="15369" width="12.6640625" style="791" customWidth="1"/>
    <col min="15370" max="15370" width="17.109375" style="791" customWidth="1"/>
    <col min="15371" max="15371" width="25.109375" style="791" bestFit="1" customWidth="1"/>
    <col min="15372"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1" width="22.88671875" style="791" customWidth="1"/>
    <col min="15622" max="15622" width="16.44140625" style="791" customWidth="1"/>
    <col min="15623" max="15624" width="16.5546875" style="791" customWidth="1"/>
    <col min="15625" max="15625" width="12.6640625" style="791" customWidth="1"/>
    <col min="15626" max="15626" width="17.109375" style="791" customWidth="1"/>
    <col min="15627" max="15627" width="25.109375" style="791" bestFit="1" customWidth="1"/>
    <col min="15628" max="15872" width="9.109375" style="791"/>
    <col min="15873" max="15873" width="2" style="791" customWidth="1"/>
    <col min="15874" max="15874" width="5.6640625" style="791" customWidth="1"/>
    <col min="15875" max="15875" width="8.33203125" style="791" customWidth="1"/>
    <col min="15876" max="15876" width="51.33203125" style="791" customWidth="1"/>
    <col min="15877" max="15877" width="22.88671875" style="791" customWidth="1"/>
    <col min="15878" max="15878" width="16.44140625" style="791" customWidth="1"/>
    <col min="15879" max="15880" width="16.5546875" style="791" customWidth="1"/>
    <col min="15881" max="15881" width="12.6640625" style="791" customWidth="1"/>
    <col min="15882" max="15882" width="17.109375" style="791" customWidth="1"/>
    <col min="15883" max="15883" width="25.109375" style="791" bestFit="1" customWidth="1"/>
    <col min="15884"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3" width="22.88671875" style="791" customWidth="1"/>
    <col min="16134" max="16134" width="16.44140625" style="791" customWidth="1"/>
    <col min="16135" max="16136" width="16.5546875" style="791" customWidth="1"/>
    <col min="16137" max="16137" width="12.6640625" style="791" customWidth="1"/>
    <col min="16138" max="16138" width="17.109375" style="791" customWidth="1"/>
    <col min="16139" max="16139" width="25.109375" style="791" bestFit="1" customWidth="1"/>
    <col min="16140" max="16384" width="9.109375" style="791"/>
  </cols>
  <sheetData>
    <row r="1" spans="2:11" ht="20.399999999999999">
      <c r="B1" s="944" t="s">
        <v>1342</v>
      </c>
      <c r="C1" s="944"/>
      <c r="D1" s="956"/>
      <c r="E1" s="956"/>
      <c r="F1" s="956"/>
      <c r="G1" s="956"/>
      <c r="H1" s="956"/>
      <c r="I1" s="956"/>
      <c r="J1" s="956"/>
      <c r="K1" s="956"/>
    </row>
    <row r="2" spans="2:11" ht="19.2">
      <c r="B2" s="957" t="str">
        <f>Inputs!B2</f>
        <v>(For Rate Year Beginning April 1, 2026, Based on December 31, 2025 Data)</v>
      </c>
      <c r="C2" s="957"/>
      <c r="D2" s="957"/>
      <c r="E2" s="957"/>
      <c r="F2" s="957"/>
      <c r="G2" s="958"/>
      <c r="H2" s="958"/>
      <c r="I2" s="959"/>
      <c r="J2" s="959"/>
      <c r="K2" s="959"/>
    </row>
    <row r="3" spans="2:11" ht="8.1" customHeight="1">
      <c r="B3" s="169"/>
      <c r="C3" s="168"/>
      <c r="D3" s="170"/>
      <c r="E3" s="170"/>
      <c r="F3" s="170"/>
      <c r="G3" s="170"/>
      <c r="H3" s="170"/>
      <c r="I3" s="171"/>
      <c r="J3" s="170"/>
      <c r="K3" s="170"/>
    </row>
    <row r="4" spans="2:11" ht="14.4">
      <c r="B4" s="169"/>
      <c r="C4" s="168"/>
      <c r="D4" s="171"/>
      <c r="E4" s="744" t="s">
        <v>533</v>
      </c>
      <c r="F4" s="744" t="s">
        <v>534</v>
      </c>
      <c r="G4" s="744" t="s">
        <v>535</v>
      </c>
      <c r="H4" s="744" t="s">
        <v>536</v>
      </c>
      <c r="I4" s="744" t="s">
        <v>537</v>
      </c>
      <c r="J4" s="744" t="s">
        <v>538</v>
      </c>
      <c r="K4" s="744" t="s">
        <v>539</v>
      </c>
    </row>
    <row r="5" spans="2:11" ht="15" customHeight="1">
      <c r="B5" s="169"/>
      <c r="C5" s="168"/>
      <c r="D5" s="170"/>
      <c r="E5" s="954" t="s">
        <v>1343</v>
      </c>
      <c r="F5" s="949" t="s">
        <v>325</v>
      </c>
      <c r="G5" s="949" t="s">
        <v>326</v>
      </c>
      <c r="H5" s="954" t="s">
        <v>1283</v>
      </c>
      <c r="I5" s="954" t="s">
        <v>1284</v>
      </c>
      <c r="J5" s="954" t="s">
        <v>1296</v>
      </c>
      <c r="K5" s="954" t="s">
        <v>1297</v>
      </c>
    </row>
    <row r="6" spans="2:11" ht="13.8">
      <c r="B6" s="169"/>
      <c r="C6" s="168"/>
      <c r="D6" s="170"/>
      <c r="E6" s="954"/>
      <c r="F6" s="960"/>
      <c r="G6" s="960"/>
      <c r="H6" s="954" t="s">
        <v>363</v>
      </c>
      <c r="I6" s="954" t="s">
        <v>387</v>
      </c>
      <c r="J6" s="954" t="s">
        <v>540</v>
      </c>
      <c r="K6" s="954"/>
    </row>
    <row r="7" spans="2:11" ht="24.75" customHeight="1">
      <c r="B7" s="792" t="s">
        <v>244</v>
      </c>
      <c r="C7" s="792" t="s">
        <v>61</v>
      </c>
      <c r="D7" s="792" t="s">
        <v>1299</v>
      </c>
      <c r="E7" s="955"/>
      <c r="F7" s="961"/>
      <c r="G7" s="961"/>
      <c r="H7" s="955" t="s">
        <v>386</v>
      </c>
      <c r="I7" s="955" t="s">
        <v>386</v>
      </c>
      <c r="J7" s="955" t="s">
        <v>542</v>
      </c>
      <c r="K7" s="955" t="s">
        <v>257</v>
      </c>
    </row>
    <row r="8" spans="2:11" ht="13.8">
      <c r="B8" s="251">
        <v>1</v>
      </c>
      <c r="C8" s="793">
        <v>182.3</v>
      </c>
      <c r="D8" s="794" t="s">
        <v>1344</v>
      </c>
      <c r="E8" s="790">
        <f>'1.6.1a-TCJA ITAAM'!E14</f>
        <v>132625</v>
      </c>
      <c r="F8" s="790">
        <f>'1.6.1a-TCJA ITAAM'!F16</f>
        <v>0</v>
      </c>
      <c r="G8" s="790">
        <f>'1.6.1a-TCJA ITAAM'!G16</f>
        <v>0</v>
      </c>
      <c r="H8" s="790">
        <f>'1.6.1a-TCJA ITAAM'!H16</f>
        <v>10290.118348367138</v>
      </c>
      <c r="I8" s="790">
        <f>'1.6.1a-TCJA ITAAM'!I16</f>
        <v>0</v>
      </c>
      <c r="J8" s="250">
        <f t="shared" ref="J8:J13" si="0">SUM(F8:I8)</f>
        <v>10290.118348367138</v>
      </c>
      <c r="K8" s="795"/>
    </row>
    <row r="9" spans="2:11" ht="13.8">
      <c r="B9" s="251">
        <f>B8+1</f>
        <v>2</v>
      </c>
      <c r="C9" s="387">
        <v>182.3</v>
      </c>
      <c r="D9" s="388" t="s">
        <v>1345</v>
      </c>
      <c r="E9" s="790"/>
      <c r="F9" s="389"/>
      <c r="G9" s="389"/>
      <c r="H9" s="389"/>
      <c r="I9" s="389"/>
      <c r="J9" s="250">
        <f t="shared" si="0"/>
        <v>0</v>
      </c>
      <c r="K9" s="794"/>
    </row>
    <row r="10" spans="2:11" ht="13.8">
      <c r="B10" s="251">
        <f t="shared" ref="B10:B55" si="1">B9+1</f>
        <v>3</v>
      </c>
      <c r="C10" s="387"/>
      <c r="D10" s="388"/>
      <c r="E10" s="834"/>
      <c r="F10" s="389"/>
      <c r="G10" s="389"/>
      <c r="H10" s="389"/>
      <c r="I10" s="389"/>
      <c r="J10" s="250">
        <f t="shared" si="0"/>
        <v>0</v>
      </c>
      <c r="K10" s="794"/>
    </row>
    <row r="11" spans="2:11" ht="13.8">
      <c r="B11" s="251">
        <f t="shared" si="1"/>
        <v>4</v>
      </c>
      <c r="C11" s="387"/>
      <c r="D11" s="388"/>
      <c r="E11" s="834"/>
      <c r="F11" s="389"/>
      <c r="G11" s="389"/>
      <c r="H11" s="389"/>
      <c r="I11" s="389"/>
      <c r="J11" s="250">
        <f t="shared" si="0"/>
        <v>0</v>
      </c>
      <c r="K11" s="794"/>
    </row>
    <row r="12" spans="2:11" ht="13.8">
      <c r="B12" s="251">
        <f t="shared" si="1"/>
        <v>5</v>
      </c>
      <c r="C12" s="387"/>
      <c r="D12" s="388"/>
      <c r="E12" s="834"/>
      <c r="F12" s="389"/>
      <c r="G12" s="389"/>
      <c r="H12" s="389"/>
      <c r="I12" s="389"/>
      <c r="J12" s="250">
        <f t="shared" si="0"/>
        <v>0</v>
      </c>
      <c r="K12" s="794"/>
    </row>
    <row r="13" spans="2:11" ht="13.8">
      <c r="B13" s="251">
        <f t="shared" si="1"/>
        <v>6</v>
      </c>
      <c r="C13" s="387"/>
      <c r="D13" s="388"/>
      <c r="E13" s="834"/>
      <c r="F13" s="389"/>
      <c r="G13" s="389"/>
      <c r="H13" s="389"/>
      <c r="I13" s="389"/>
      <c r="J13" s="250">
        <f t="shared" si="0"/>
        <v>0</v>
      </c>
      <c r="K13" s="794"/>
    </row>
    <row r="14" spans="2:11" ht="13.8">
      <c r="B14" s="251">
        <f t="shared" si="1"/>
        <v>7</v>
      </c>
      <c r="C14" s="168"/>
      <c r="D14" s="170"/>
      <c r="E14" s="175"/>
      <c r="F14" s="175"/>
      <c r="G14" s="175"/>
      <c r="H14" s="175"/>
      <c r="I14" s="175"/>
      <c r="J14" s="175"/>
      <c r="K14" s="170"/>
    </row>
    <row r="15" spans="2:11" ht="13.8">
      <c r="B15" s="251">
        <f t="shared" si="1"/>
        <v>8</v>
      </c>
      <c r="C15" s="168"/>
      <c r="D15" s="176" t="s">
        <v>1301</v>
      </c>
      <c r="E15" s="175">
        <f t="shared" ref="E15:J15" si="2">SUM(E8:E13)</f>
        <v>132625</v>
      </c>
      <c r="F15" s="175">
        <f t="shared" si="2"/>
        <v>0</v>
      </c>
      <c r="G15" s="175">
        <f t="shared" si="2"/>
        <v>0</v>
      </c>
      <c r="H15" s="175">
        <f t="shared" si="2"/>
        <v>10290.118348367138</v>
      </c>
      <c r="I15" s="175">
        <f t="shared" si="2"/>
        <v>0</v>
      </c>
      <c r="J15" s="510">
        <f t="shared" si="2"/>
        <v>10290.118348367138</v>
      </c>
      <c r="K15" s="170"/>
    </row>
    <row r="16" spans="2:11" ht="13.8">
      <c r="B16" s="251">
        <f t="shared" si="1"/>
        <v>9</v>
      </c>
      <c r="C16" s="383"/>
      <c r="D16" s="176"/>
      <c r="E16" s="177"/>
      <c r="F16" s="442"/>
      <c r="G16" s="442"/>
      <c r="H16" s="442"/>
      <c r="I16" s="442"/>
      <c r="J16" s="170"/>
      <c r="K16" s="170"/>
    </row>
    <row r="17" spans="2:11" ht="13.8">
      <c r="B17" s="251">
        <f t="shared" si="1"/>
        <v>10</v>
      </c>
      <c r="C17" s="793">
        <v>182.3</v>
      </c>
      <c r="D17" s="794" t="s">
        <v>1344</v>
      </c>
      <c r="E17" s="790">
        <f>'1.6.1a-TCJA ITAAM'!E33</f>
        <v>338365</v>
      </c>
      <c r="F17" s="790">
        <f>'1.6.1a-TCJA ITAAM'!F37</f>
        <v>0</v>
      </c>
      <c r="G17" s="790">
        <f>'1.6.1a-TCJA ITAAM'!G37</f>
        <v>0</v>
      </c>
      <c r="H17" s="790">
        <f>'1.6.1a-TCJA ITAAM'!H37</f>
        <v>0</v>
      </c>
      <c r="I17" s="790">
        <f>'1.6.1a-TCJA ITAAM'!I37</f>
        <v>0</v>
      </c>
      <c r="J17" s="250">
        <f t="shared" ref="J17:J22" si="3">SUM(F17:I17)</f>
        <v>0</v>
      </c>
      <c r="K17" s="794"/>
    </row>
    <row r="18" spans="2:11" ht="13.8">
      <c r="B18" s="251">
        <f t="shared" si="1"/>
        <v>11</v>
      </c>
      <c r="C18" s="387">
        <v>182.3</v>
      </c>
      <c r="D18" s="388" t="s">
        <v>1345</v>
      </c>
      <c r="E18" s="790"/>
      <c r="F18" s="389"/>
      <c r="G18" s="389"/>
      <c r="H18" s="389"/>
      <c r="I18" s="389"/>
      <c r="J18" s="250">
        <f t="shared" si="3"/>
        <v>0</v>
      </c>
      <c r="K18" s="794"/>
    </row>
    <row r="19" spans="2:11" ht="13.8">
      <c r="B19" s="251">
        <f t="shared" si="1"/>
        <v>12</v>
      </c>
      <c r="C19" s="387"/>
      <c r="D19" s="388"/>
      <c r="E19" s="834"/>
      <c r="F19" s="389"/>
      <c r="G19" s="389"/>
      <c r="H19" s="389"/>
      <c r="I19" s="389"/>
      <c r="J19" s="250">
        <f t="shared" si="3"/>
        <v>0</v>
      </c>
      <c r="K19" s="794"/>
    </row>
    <row r="20" spans="2:11" ht="13.8">
      <c r="B20" s="251">
        <f t="shared" si="1"/>
        <v>13</v>
      </c>
      <c r="C20" s="387"/>
      <c r="D20" s="388"/>
      <c r="E20" s="834"/>
      <c r="F20" s="389"/>
      <c r="G20" s="389"/>
      <c r="H20" s="389"/>
      <c r="I20" s="389"/>
      <c r="J20" s="250">
        <f t="shared" si="3"/>
        <v>0</v>
      </c>
      <c r="K20" s="794"/>
    </row>
    <row r="21" spans="2:11" ht="13.8">
      <c r="B21" s="251">
        <f t="shared" si="1"/>
        <v>14</v>
      </c>
      <c r="C21" s="387"/>
      <c r="D21" s="388"/>
      <c r="E21" s="834"/>
      <c r="F21" s="389"/>
      <c r="G21" s="389"/>
      <c r="H21" s="389"/>
      <c r="I21" s="389"/>
      <c r="J21" s="250">
        <f t="shared" si="3"/>
        <v>0</v>
      </c>
      <c r="K21" s="794"/>
    </row>
    <row r="22" spans="2:11" ht="13.8">
      <c r="B22" s="251">
        <f t="shared" si="1"/>
        <v>15</v>
      </c>
      <c r="C22" s="387"/>
      <c r="D22" s="388"/>
      <c r="E22" s="834"/>
      <c r="F22" s="389"/>
      <c r="G22" s="389"/>
      <c r="H22" s="389"/>
      <c r="I22" s="389"/>
      <c r="J22" s="250">
        <f t="shared" si="3"/>
        <v>0</v>
      </c>
      <c r="K22" s="794"/>
    </row>
    <row r="23" spans="2:11" ht="13.8">
      <c r="B23" s="251">
        <f t="shared" si="1"/>
        <v>16</v>
      </c>
      <c r="C23" s="168"/>
      <c r="D23" s="170"/>
      <c r="E23" s="175"/>
      <c r="F23" s="175"/>
      <c r="G23" s="175"/>
      <c r="H23" s="175"/>
      <c r="I23" s="175"/>
      <c r="J23" s="175"/>
      <c r="K23" s="170"/>
    </row>
    <row r="24" spans="2:11" ht="13.8">
      <c r="B24" s="251">
        <f t="shared" si="1"/>
        <v>17</v>
      </c>
      <c r="C24" s="168"/>
      <c r="D24" s="176" t="s">
        <v>1302</v>
      </c>
      <c r="E24" s="175">
        <f t="shared" ref="E24:J24" si="4">SUM(E17:E22)</f>
        <v>338365</v>
      </c>
      <c r="F24" s="175">
        <f t="shared" si="4"/>
        <v>0</v>
      </c>
      <c r="G24" s="175">
        <f t="shared" si="4"/>
        <v>0</v>
      </c>
      <c r="H24" s="175">
        <f t="shared" si="4"/>
        <v>0</v>
      </c>
      <c r="I24" s="175">
        <f t="shared" si="4"/>
        <v>0</v>
      </c>
      <c r="J24" s="510">
        <f t="shared" si="4"/>
        <v>0</v>
      </c>
    </row>
    <row r="25" spans="2:11" ht="14.4" thickBot="1">
      <c r="B25" s="251">
        <f t="shared" si="1"/>
        <v>18</v>
      </c>
      <c r="C25" s="168"/>
      <c r="D25" s="176" t="s">
        <v>1305</v>
      </c>
      <c r="E25" s="175">
        <f>E15+E24</f>
        <v>470990</v>
      </c>
      <c r="F25" s="175"/>
      <c r="G25" s="175"/>
      <c r="H25" s="175"/>
      <c r="I25" s="175"/>
      <c r="J25" s="175"/>
      <c r="K25" s="170"/>
    </row>
    <row r="26" spans="2:11" ht="28.2" thickBot="1">
      <c r="B26" s="251">
        <f t="shared" si="1"/>
        <v>19</v>
      </c>
      <c r="C26" s="168"/>
      <c r="D26" s="731" t="s">
        <v>1597</v>
      </c>
      <c r="E26" s="835">
        <f>+Inputs!D255</f>
        <v>470990</v>
      </c>
      <c r="F26" s="175"/>
      <c r="G26" s="175"/>
      <c r="H26" s="175"/>
      <c r="I26" s="175"/>
      <c r="J26" s="175"/>
    </row>
    <row r="27" spans="2:11" ht="14.4" thickBot="1">
      <c r="B27" s="251">
        <f t="shared" si="1"/>
        <v>20</v>
      </c>
      <c r="C27" s="383"/>
      <c r="D27" s="176"/>
      <c r="E27" s="177"/>
      <c r="F27" s="442"/>
      <c r="G27" s="442"/>
      <c r="H27" s="442"/>
      <c r="I27" s="442"/>
      <c r="K27" s="170"/>
    </row>
    <row r="28" spans="2:11" ht="28.2" thickBot="1">
      <c r="B28" s="251">
        <f t="shared" si="1"/>
        <v>21</v>
      </c>
      <c r="C28" s="168"/>
      <c r="D28" s="731" t="s">
        <v>1470</v>
      </c>
      <c r="E28" s="175"/>
      <c r="F28" s="255"/>
      <c r="G28" s="255"/>
      <c r="H28" s="175"/>
      <c r="I28" s="175"/>
      <c r="J28" s="511">
        <f>J15+J24</f>
        <v>10290.118348367138</v>
      </c>
      <c r="K28" s="170" t="s">
        <v>1346</v>
      </c>
    </row>
    <row r="29" spans="2:11" ht="13.8">
      <c r="B29" s="251">
        <f t="shared" si="1"/>
        <v>22</v>
      </c>
      <c r="C29" s="168"/>
      <c r="D29" s="176"/>
      <c r="E29" s="175"/>
      <c r="F29" s="175"/>
      <c r="G29" s="175"/>
      <c r="H29" s="175"/>
      <c r="I29" s="175"/>
      <c r="J29" s="175"/>
      <c r="K29" s="170"/>
    </row>
    <row r="30" spans="2:11" ht="15" customHeight="1">
      <c r="B30" s="251">
        <f t="shared" si="1"/>
        <v>23</v>
      </c>
      <c r="C30" s="793">
        <v>254</v>
      </c>
      <c r="D30" s="794" t="s">
        <v>1344</v>
      </c>
      <c r="E30" s="790">
        <f>'1.6.1a-TCJA ITAAM'!E48</f>
        <v>-671115</v>
      </c>
      <c r="F30" s="790">
        <f>'1.6.1a-TCJA ITAAM'!F50</f>
        <v>0</v>
      </c>
      <c r="G30" s="790">
        <f>'1.6.1a-TCJA ITAAM'!G50</f>
        <v>0</v>
      </c>
      <c r="H30" s="790">
        <f>'1.6.1a-TCJA ITAAM'!H50</f>
        <v>-43957.334383983783</v>
      </c>
      <c r="I30" s="790">
        <f>'1.6.1a-TCJA ITAAM'!I50</f>
        <v>0</v>
      </c>
      <c r="J30" s="250">
        <f t="shared" ref="J30:J35" si="5">SUM(F30:I30)</f>
        <v>-43957.334383983783</v>
      </c>
      <c r="K30" s="794"/>
    </row>
    <row r="31" spans="2:11" ht="13.8">
      <c r="B31" s="251">
        <f t="shared" si="1"/>
        <v>24</v>
      </c>
      <c r="C31" s="387">
        <v>254</v>
      </c>
      <c r="D31" s="388" t="s">
        <v>1345</v>
      </c>
      <c r="E31" s="790"/>
      <c r="F31" s="389"/>
      <c r="G31" s="389"/>
      <c r="H31" s="389"/>
      <c r="I31" s="389"/>
      <c r="J31" s="250">
        <f t="shared" si="5"/>
        <v>0</v>
      </c>
      <c r="K31" s="794"/>
    </row>
    <row r="32" spans="2:11" ht="13.8">
      <c r="B32" s="251">
        <f t="shared" si="1"/>
        <v>25</v>
      </c>
      <c r="C32" s="387"/>
      <c r="D32" s="388"/>
      <c r="E32" s="834"/>
      <c r="F32" s="389"/>
      <c r="G32" s="389"/>
      <c r="H32" s="389"/>
      <c r="I32" s="389"/>
      <c r="J32" s="250">
        <f t="shared" si="5"/>
        <v>0</v>
      </c>
      <c r="K32" s="794"/>
    </row>
    <row r="33" spans="2:11" ht="13.8">
      <c r="B33" s="251">
        <f t="shared" si="1"/>
        <v>26</v>
      </c>
      <c r="C33" s="387"/>
      <c r="D33" s="388"/>
      <c r="E33" s="834"/>
      <c r="F33" s="389"/>
      <c r="G33" s="389"/>
      <c r="H33" s="389"/>
      <c r="I33" s="389"/>
      <c r="J33" s="250">
        <f t="shared" si="5"/>
        <v>0</v>
      </c>
      <c r="K33" s="794"/>
    </row>
    <row r="34" spans="2:11" ht="13.8">
      <c r="B34" s="251">
        <f t="shared" si="1"/>
        <v>27</v>
      </c>
      <c r="C34" s="387"/>
      <c r="D34" s="388"/>
      <c r="E34" s="834"/>
      <c r="F34" s="389"/>
      <c r="G34" s="389"/>
      <c r="H34" s="389"/>
      <c r="I34" s="389"/>
      <c r="J34" s="250">
        <f t="shared" si="5"/>
        <v>0</v>
      </c>
      <c r="K34" s="794"/>
    </row>
    <row r="35" spans="2:11" ht="13.8">
      <c r="B35" s="251">
        <f t="shared" si="1"/>
        <v>28</v>
      </c>
      <c r="C35" s="387"/>
      <c r="D35" s="388"/>
      <c r="E35" s="834"/>
      <c r="F35" s="389"/>
      <c r="G35" s="389"/>
      <c r="H35" s="389"/>
      <c r="I35" s="389"/>
      <c r="J35" s="250">
        <f t="shared" si="5"/>
        <v>0</v>
      </c>
      <c r="K35" s="794"/>
    </row>
    <row r="36" spans="2:11" ht="13.8">
      <c r="B36" s="251">
        <f t="shared" si="1"/>
        <v>29</v>
      </c>
      <c r="C36" s="382"/>
      <c r="D36" s="170"/>
      <c r="E36" s="175"/>
      <c r="F36" s="175"/>
      <c r="G36" s="175"/>
      <c r="H36" s="175"/>
      <c r="I36" s="175"/>
      <c r="J36" s="175"/>
      <c r="K36" s="179"/>
    </row>
    <row r="37" spans="2:11" ht="13.8">
      <c r="B37" s="251">
        <f t="shared" si="1"/>
        <v>30</v>
      </c>
      <c r="C37" s="382"/>
      <c r="D37" s="176" t="s">
        <v>1307</v>
      </c>
      <c r="E37" s="175">
        <f t="shared" ref="E37:J37" si="6">SUM(E30:E35)</f>
        <v>-671115</v>
      </c>
      <c r="F37" s="175">
        <f t="shared" si="6"/>
        <v>0</v>
      </c>
      <c r="G37" s="175">
        <f t="shared" si="6"/>
        <v>0</v>
      </c>
      <c r="H37" s="175">
        <f t="shared" si="6"/>
        <v>-43957.334383983783</v>
      </c>
      <c r="I37" s="175">
        <f t="shared" si="6"/>
        <v>0</v>
      </c>
      <c r="J37" s="510">
        <f t="shared" si="6"/>
        <v>-43957.334383983783</v>
      </c>
      <c r="K37" s="179"/>
    </row>
    <row r="38" spans="2:11" ht="13.8">
      <c r="B38" s="251">
        <f t="shared" si="1"/>
        <v>31</v>
      </c>
      <c r="C38" s="382"/>
      <c r="D38" s="176"/>
      <c r="E38" s="177"/>
      <c r="F38" s="442"/>
      <c r="G38" s="442"/>
      <c r="H38" s="442"/>
      <c r="I38" s="442"/>
      <c r="J38" s="170"/>
      <c r="K38" s="179"/>
    </row>
    <row r="39" spans="2:11" ht="13.8">
      <c r="B39" s="251">
        <f t="shared" si="1"/>
        <v>32</v>
      </c>
      <c r="C39" s="793">
        <v>254</v>
      </c>
      <c r="D39" s="794" t="s">
        <v>1344</v>
      </c>
      <c r="E39" s="790">
        <f>'1.6.1a-TCJA ITAAM'!E62</f>
        <v>-601960</v>
      </c>
      <c r="F39" s="389">
        <f>'1.6.1a-TCJA ITAAM'!F66</f>
        <v>0</v>
      </c>
      <c r="G39" s="389">
        <f>'1.6.1a-TCJA ITAAM'!G66</f>
        <v>0</v>
      </c>
      <c r="H39" s="389">
        <f>'1.6.1a-TCJA ITAAM'!H66</f>
        <v>-34626.891104620205</v>
      </c>
      <c r="I39" s="389">
        <f>'1.6.1a-TCJA ITAAM'!I66</f>
        <v>0</v>
      </c>
      <c r="J39" s="250">
        <f t="shared" ref="J39:J44" si="7">SUM(F39:I39)</f>
        <v>-34626.891104620205</v>
      </c>
      <c r="K39" s="794"/>
    </row>
    <row r="40" spans="2:11" ht="13.8">
      <c r="B40" s="251">
        <f t="shared" si="1"/>
        <v>33</v>
      </c>
      <c r="C40" s="387">
        <v>254</v>
      </c>
      <c r="D40" s="388" t="s">
        <v>1345</v>
      </c>
      <c r="E40" s="790"/>
      <c r="F40" s="389"/>
      <c r="G40" s="389"/>
      <c r="H40" s="389"/>
      <c r="I40" s="389"/>
      <c r="J40" s="250">
        <f t="shared" si="7"/>
        <v>0</v>
      </c>
      <c r="K40" s="794"/>
    </row>
    <row r="41" spans="2:11" ht="13.8">
      <c r="B41" s="251">
        <f t="shared" si="1"/>
        <v>34</v>
      </c>
      <c r="C41" s="387"/>
      <c r="D41" s="388"/>
      <c r="E41" s="834"/>
      <c r="F41" s="389"/>
      <c r="G41" s="389"/>
      <c r="H41" s="389"/>
      <c r="I41" s="389"/>
      <c r="J41" s="250">
        <f t="shared" si="7"/>
        <v>0</v>
      </c>
      <c r="K41" s="794"/>
    </row>
    <row r="42" spans="2:11" ht="13.8">
      <c r="B42" s="251">
        <f t="shared" si="1"/>
        <v>35</v>
      </c>
      <c r="C42" s="387"/>
      <c r="D42" s="388"/>
      <c r="E42" s="834"/>
      <c r="F42" s="389"/>
      <c r="G42" s="389"/>
      <c r="H42" s="389"/>
      <c r="I42" s="389"/>
      <c r="J42" s="250">
        <f t="shared" si="7"/>
        <v>0</v>
      </c>
      <c r="K42" s="794"/>
    </row>
    <row r="43" spans="2:11" ht="13.8">
      <c r="B43" s="251">
        <f t="shared" si="1"/>
        <v>36</v>
      </c>
      <c r="C43" s="387"/>
      <c r="D43" s="388"/>
      <c r="E43" s="834"/>
      <c r="F43" s="389"/>
      <c r="G43" s="389"/>
      <c r="H43" s="389"/>
      <c r="I43" s="389"/>
      <c r="J43" s="250">
        <f t="shared" si="7"/>
        <v>0</v>
      </c>
      <c r="K43" s="794"/>
    </row>
    <row r="44" spans="2:11" ht="13.8">
      <c r="B44" s="251">
        <f t="shared" si="1"/>
        <v>37</v>
      </c>
      <c r="C44" s="387"/>
      <c r="D44" s="388"/>
      <c r="E44" s="834"/>
      <c r="F44" s="389"/>
      <c r="G44" s="389"/>
      <c r="H44" s="389"/>
      <c r="I44" s="389"/>
      <c r="J44" s="250">
        <f t="shared" si="7"/>
        <v>0</v>
      </c>
      <c r="K44" s="794"/>
    </row>
    <row r="45" spans="2:11" ht="13.8">
      <c r="B45" s="251">
        <f t="shared" si="1"/>
        <v>38</v>
      </c>
      <c r="C45" s="174"/>
      <c r="D45" s="170"/>
      <c r="E45" s="175"/>
      <c r="F45" s="175"/>
      <c r="G45" s="175"/>
      <c r="H45" s="175"/>
      <c r="I45" s="175"/>
      <c r="J45" s="175"/>
      <c r="K45" s="170"/>
    </row>
    <row r="46" spans="2:11" ht="13.8">
      <c r="B46" s="251">
        <f t="shared" si="1"/>
        <v>39</v>
      </c>
      <c r="C46" s="174"/>
      <c r="D46" s="176" t="s">
        <v>1308</v>
      </c>
      <c r="E46" s="175">
        <f t="shared" ref="E46:J46" si="8">SUM(E39:E44)</f>
        <v>-601960</v>
      </c>
      <c r="F46" s="175">
        <f t="shared" si="8"/>
        <v>0</v>
      </c>
      <c r="G46" s="175">
        <f t="shared" si="8"/>
        <v>0</v>
      </c>
      <c r="H46" s="175">
        <f t="shared" si="8"/>
        <v>-34626.891104620205</v>
      </c>
      <c r="I46" s="175">
        <f t="shared" si="8"/>
        <v>0</v>
      </c>
      <c r="J46" s="836">
        <f t="shared" si="8"/>
        <v>-34626.891104620205</v>
      </c>
      <c r="K46" s="170"/>
    </row>
    <row r="47" spans="2:11" ht="14.4" thickBot="1">
      <c r="B47" s="251">
        <f t="shared" si="1"/>
        <v>40</v>
      </c>
      <c r="C47" s="174"/>
      <c r="D47" s="176" t="s">
        <v>1310</v>
      </c>
      <c r="E47" s="175">
        <f>E37+E46</f>
        <v>-1273075</v>
      </c>
      <c r="F47" s="175"/>
      <c r="G47" s="175"/>
      <c r="H47" s="175"/>
      <c r="I47" s="175"/>
      <c r="J47" s="175"/>
      <c r="K47" s="170"/>
    </row>
    <row r="48" spans="2:11" ht="28.2" thickBot="1">
      <c r="B48" s="251">
        <f t="shared" si="1"/>
        <v>41</v>
      </c>
      <c r="C48" s="174"/>
      <c r="D48" s="731" t="s">
        <v>1598</v>
      </c>
      <c r="E48" s="835">
        <f>+Inputs!D256</f>
        <v>-1273075</v>
      </c>
      <c r="F48" s="175"/>
      <c r="G48" s="443"/>
      <c r="H48" s="443"/>
      <c r="I48" s="443"/>
      <c r="J48" s="175"/>
      <c r="K48" s="395"/>
    </row>
    <row r="49" spans="2:11" ht="14.4" thickBot="1">
      <c r="B49" s="251">
        <f t="shared" si="1"/>
        <v>42</v>
      </c>
      <c r="C49" s="174"/>
      <c r="D49" s="176"/>
      <c r="E49" s="837"/>
      <c r="F49" s="442"/>
      <c r="G49" s="442"/>
      <c r="H49" s="442"/>
      <c r="I49" s="442"/>
      <c r="J49" s="170"/>
      <c r="K49" s="170"/>
    </row>
    <row r="50" spans="2:11" ht="28.2" thickBot="1">
      <c r="B50" s="251">
        <f t="shared" si="1"/>
        <v>43</v>
      </c>
      <c r="D50" s="731" t="s">
        <v>1471</v>
      </c>
      <c r="E50" s="175"/>
      <c r="F50" s="175"/>
      <c r="G50" s="175"/>
      <c r="H50" s="175"/>
      <c r="I50" s="175"/>
      <c r="J50" s="511">
        <f>+J37+J46</f>
        <v>-78584.225488603988</v>
      </c>
      <c r="K50" s="170" t="s">
        <v>1347</v>
      </c>
    </row>
    <row r="51" spans="2:11" ht="13.8">
      <c r="B51" s="251">
        <f t="shared" si="1"/>
        <v>44</v>
      </c>
      <c r="D51" s="731"/>
      <c r="E51" s="175"/>
      <c r="F51" s="175"/>
      <c r="G51" s="175"/>
      <c r="H51" s="175"/>
      <c r="I51" s="175"/>
      <c r="J51" s="175"/>
      <c r="K51" s="170"/>
    </row>
    <row r="52" spans="2:11" ht="15" customHeight="1">
      <c r="B52" s="251">
        <f t="shared" si="1"/>
        <v>45</v>
      </c>
      <c r="D52" s="965" t="s">
        <v>1472</v>
      </c>
      <c r="E52" s="965"/>
      <c r="F52" s="965"/>
      <c r="G52" s="965"/>
      <c r="H52" s="965"/>
      <c r="I52" s="965"/>
      <c r="J52" s="175"/>
      <c r="K52" s="170"/>
    </row>
    <row r="53" spans="2:11" ht="15" customHeight="1">
      <c r="B53" s="251">
        <f t="shared" si="1"/>
        <v>46</v>
      </c>
      <c r="D53" s="838" t="s">
        <v>1442</v>
      </c>
      <c r="E53" s="838"/>
      <c r="F53" s="838"/>
      <c r="G53" s="838"/>
      <c r="H53" s="838"/>
      <c r="I53" s="838"/>
      <c r="J53" s="175"/>
      <c r="K53" s="170"/>
    </row>
    <row r="54" spans="2:11" ht="15" customHeight="1">
      <c r="B54" s="251">
        <f t="shared" si="1"/>
        <v>47</v>
      </c>
      <c r="D54" s="962" t="s">
        <v>1443</v>
      </c>
      <c r="E54" s="962"/>
      <c r="F54" s="962"/>
      <c r="G54" s="962"/>
      <c r="H54" s="962"/>
      <c r="I54" s="962"/>
      <c r="J54" s="175"/>
      <c r="K54" s="170"/>
    </row>
    <row r="55" spans="2:11" ht="15" customHeight="1">
      <c r="B55" s="251">
        <f t="shared" si="1"/>
        <v>48</v>
      </c>
      <c r="D55" s="962" t="s">
        <v>1444</v>
      </c>
      <c r="E55" s="962"/>
      <c r="F55" s="962"/>
      <c r="G55" s="962"/>
      <c r="H55" s="962"/>
      <c r="I55" s="962"/>
      <c r="J55" s="175"/>
      <c r="K55" s="170"/>
    </row>
    <row r="56" spans="2:11" ht="15" customHeight="1">
      <c r="B56" s="251"/>
      <c r="D56" s="732"/>
      <c r="E56" s="732"/>
      <c r="F56" s="732"/>
      <c r="G56" s="732"/>
      <c r="H56" s="732"/>
      <c r="I56" s="732"/>
      <c r="J56" s="175"/>
      <c r="K56" s="170"/>
    </row>
    <row r="57" spans="2:11" ht="13.8">
      <c r="B57" s="953" t="s">
        <v>1348</v>
      </c>
      <c r="C57" s="953"/>
      <c r="D57" s="953"/>
      <c r="E57" s="953"/>
      <c r="F57" s="953"/>
      <c r="G57" s="953"/>
      <c r="H57" s="953"/>
      <c r="I57" s="953"/>
      <c r="J57" s="953"/>
      <c r="K57" s="953"/>
    </row>
    <row r="58" spans="2:11" ht="13.8">
      <c r="B58" s="943" t="s">
        <v>504</v>
      </c>
      <c r="C58" s="943"/>
      <c r="D58" s="943"/>
      <c r="E58" s="943"/>
      <c r="F58" s="943"/>
      <c r="G58" s="943"/>
      <c r="H58" s="943"/>
      <c r="I58" s="943"/>
      <c r="J58" s="943"/>
      <c r="K58" s="943"/>
    </row>
  </sheetData>
  <mergeCells count="14">
    <mergeCell ref="D52:I52"/>
    <mergeCell ref="D54:I54"/>
    <mergeCell ref="D55:I55"/>
    <mergeCell ref="B57:K57"/>
    <mergeCell ref="B58:K58"/>
    <mergeCell ref="B1:K1"/>
    <mergeCell ref="B2:K2"/>
    <mergeCell ref="E5:E7"/>
    <mergeCell ref="F5:F7"/>
    <mergeCell ref="G5:G7"/>
    <mergeCell ref="H5:H7"/>
    <mergeCell ref="I5:I7"/>
    <mergeCell ref="J5:J7"/>
    <mergeCell ref="K5:K7"/>
  </mergeCells>
  <printOptions horizontalCentered="1"/>
  <pageMargins left="0.7" right="0.7" top="0.75" bottom="0.75" header="0.3" footer="0.3"/>
  <pageSetup scale="54" orientation="landscape" r:id="rId1"/>
  <headerFooter>
    <oddHeader>&amp;C&amp;"Arial,Bold"ADDENDUM 27 TO ATTACHMENT H, Page &amp;P of &amp;N
NorthWestern Corporation (South Dakota)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75"/>
  <sheetViews>
    <sheetView zoomScale="70" zoomScaleNormal="70" workbookViewId="0"/>
  </sheetViews>
  <sheetFormatPr defaultRowHeight="13.2"/>
  <cols>
    <col min="1" max="1" width="2" style="791" customWidth="1"/>
    <col min="2" max="2" width="5.6640625" style="791" customWidth="1"/>
    <col min="3" max="3" width="8.33203125" style="804" customWidth="1"/>
    <col min="4" max="4" width="59.109375" style="791" customWidth="1"/>
    <col min="5" max="5" width="20.6640625" style="791" customWidth="1"/>
    <col min="6" max="6" width="19.33203125" style="791" customWidth="1"/>
    <col min="7" max="7" width="14" style="791" customWidth="1"/>
    <col min="8" max="8" width="19.33203125" style="791" customWidth="1"/>
    <col min="9" max="9" width="14.5546875" style="791" customWidth="1"/>
    <col min="10" max="10" width="20.6640625" style="791" customWidth="1"/>
    <col min="11" max="11" width="14.33203125" style="791" customWidth="1"/>
    <col min="12" max="12" width="13.5546875" style="791" customWidth="1"/>
    <col min="13" max="13" width="13.109375" style="791" customWidth="1"/>
    <col min="14" max="14" width="26" style="791" bestFit="1" customWidth="1"/>
    <col min="15" max="256" width="9.109375" style="791"/>
    <col min="257" max="257" width="2" style="791" customWidth="1"/>
    <col min="258" max="258" width="5.6640625" style="791" customWidth="1"/>
    <col min="259" max="259" width="8.33203125" style="791" customWidth="1"/>
    <col min="260" max="260" width="59.109375" style="791" customWidth="1"/>
    <col min="261" max="261" width="20.6640625" style="791" customWidth="1"/>
    <col min="262" max="265" width="19.33203125" style="791" customWidth="1"/>
    <col min="266" max="266" width="20.6640625" style="791" customWidth="1"/>
    <col min="267" max="267" width="14.33203125" style="791" customWidth="1"/>
    <col min="268" max="268" width="13.5546875" style="791" customWidth="1"/>
    <col min="269" max="269" width="13.109375" style="791" customWidth="1"/>
    <col min="270" max="270" width="26" style="791" bestFit="1" customWidth="1"/>
    <col min="271" max="512" width="9.109375" style="791"/>
    <col min="513" max="513" width="2" style="791" customWidth="1"/>
    <col min="514" max="514" width="5.6640625" style="791" customWidth="1"/>
    <col min="515" max="515" width="8.33203125" style="791" customWidth="1"/>
    <col min="516" max="516" width="59.109375" style="791" customWidth="1"/>
    <col min="517" max="517" width="20.6640625" style="791" customWidth="1"/>
    <col min="518" max="521" width="19.33203125" style="791" customWidth="1"/>
    <col min="522" max="522" width="20.6640625" style="791" customWidth="1"/>
    <col min="523" max="523" width="14.33203125" style="791" customWidth="1"/>
    <col min="524" max="524" width="13.5546875" style="791" customWidth="1"/>
    <col min="525" max="525" width="13.109375" style="791" customWidth="1"/>
    <col min="526" max="526" width="26" style="791" bestFit="1" customWidth="1"/>
    <col min="527" max="768" width="9.109375" style="791"/>
    <col min="769" max="769" width="2" style="791" customWidth="1"/>
    <col min="770" max="770" width="5.6640625" style="791" customWidth="1"/>
    <col min="771" max="771" width="8.33203125" style="791" customWidth="1"/>
    <col min="772" max="772" width="59.109375" style="791" customWidth="1"/>
    <col min="773" max="773" width="20.6640625" style="791" customWidth="1"/>
    <col min="774" max="777" width="19.33203125" style="791" customWidth="1"/>
    <col min="778" max="778" width="20.6640625" style="791" customWidth="1"/>
    <col min="779" max="779" width="14.33203125" style="791" customWidth="1"/>
    <col min="780" max="780" width="13.5546875" style="791" customWidth="1"/>
    <col min="781" max="781" width="13.109375" style="791" customWidth="1"/>
    <col min="782" max="782" width="26" style="791" bestFit="1" customWidth="1"/>
    <col min="783" max="1024" width="9.109375" style="791"/>
    <col min="1025" max="1025" width="2" style="791" customWidth="1"/>
    <col min="1026" max="1026" width="5.6640625" style="791" customWidth="1"/>
    <col min="1027" max="1027" width="8.33203125" style="791" customWidth="1"/>
    <col min="1028" max="1028" width="59.109375" style="791" customWidth="1"/>
    <col min="1029" max="1029" width="20.6640625" style="791" customWidth="1"/>
    <col min="1030" max="1033" width="19.33203125" style="791" customWidth="1"/>
    <col min="1034" max="1034" width="20.6640625" style="791" customWidth="1"/>
    <col min="1035" max="1035" width="14.33203125" style="791" customWidth="1"/>
    <col min="1036" max="1036" width="13.5546875" style="791" customWidth="1"/>
    <col min="1037" max="1037" width="13.109375" style="791" customWidth="1"/>
    <col min="1038" max="1038" width="26" style="791" bestFit="1" customWidth="1"/>
    <col min="1039" max="1280" width="9.109375" style="791"/>
    <col min="1281" max="1281" width="2" style="791" customWidth="1"/>
    <col min="1282" max="1282" width="5.6640625" style="791" customWidth="1"/>
    <col min="1283" max="1283" width="8.33203125" style="791" customWidth="1"/>
    <col min="1284" max="1284" width="59.109375" style="791" customWidth="1"/>
    <col min="1285" max="1285" width="20.6640625" style="791" customWidth="1"/>
    <col min="1286" max="1289" width="19.33203125" style="791" customWidth="1"/>
    <col min="1290" max="1290" width="20.6640625" style="791" customWidth="1"/>
    <col min="1291" max="1291" width="14.33203125" style="791" customWidth="1"/>
    <col min="1292" max="1292" width="13.5546875" style="791" customWidth="1"/>
    <col min="1293" max="1293" width="13.109375" style="791" customWidth="1"/>
    <col min="1294" max="1294" width="26" style="791" bestFit="1" customWidth="1"/>
    <col min="1295" max="1536" width="9.109375" style="791"/>
    <col min="1537" max="1537" width="2" style="791" customWidth="1"/>
    <col min="1538" max="1538" width="5.6640625" style="791" customWidth="1"/>
    <col min="1539" max="1539" width="8.33203125" style="791" customWidth="1"/>
    <col min="1540" max="1540" width="59.109375" style="791" customWidth="1"/>
    <col min="1541" max="1541" width="20.6640625" style="791" customWidth="1"/>
    <col min="1542" max="1545" width="19.33203125" style="791" customWidth="1"/>
    <col min="1546" max="1546" width="20.6640625" style="791" customWidth="1"/>
    <col min="1547" max="1547" width="14.33203125" style="791" customWidth="1"/>
    <col min="1548" max="1548" width="13.5546875" style="791" customWidth="1"/>
    <col min="1549" max="1549" width="13.109375" style="791" customWidth="1"/>
    <col min="1550" max="1550" width="26" style="791" bestFit="1" customWidth="1"/>
    <col min="1551" max="1792" width="9.109375" style="791"/>
    <col min="1793" max="1793" width="2" style="791" customWidth="1"/>
    <col min="1794" max="1794" width="5.6640625" style="791" customWidth="1"/>
    <col min="1795" max="1795" width="8.33203125" style="791" customWidth="1"/>
    <col min="1796" max="1796" width="59.109375" style="791" customWidth="1"/>
    <col min="1797" max="1797" width="20.6640625" style="791" customWidth="1"/>
    <col min="1798" max="1801" width="19.33203125" style="791" customWidth="1"/>
    <col min="1802" max="1802" width="20.6640625" style="791" customWidth="1"/>
    <col min="1803" max="1803" width="14.33203125" style="791" customWidth="1"/>
    <col min="1804" max="1804" width="13.5546875" style="791" customWidth="1"/>
    <col min="1805" max="1805" width="13.109375" style="791" customWidth="1"/>
    <col min="1806" max="1806" width="26" style="791" bestFit="1" customWidth="1"/>
    <col min="1807" max="2048" width="9.109375" style="791"/>
    <col min="2049" max="2049" width="2" style="791" customWidth="1"/>
    <col min="2050" max="2050" width="5.6640625" style="791" customWidth="1"/>
    <col min="2051" max="2051" width="8.33203125" style="791" customWidth="1"/>
    <col min="2052" max="2052" width="59.109375" style="791" customWidth="1"/>
    <col min="2053" max="2053" width="20.6640625" style="791" customWidth="1"/>
    <col min="2054" max="2057" width="19.33203125" style="791" customWidth="1"/>
    <col min="2058" max="2058" width="20.6640625" style="791" customWidth="1"/>
    <col min="2059" max="2059" width="14.33203125" style="791" customWidth="1"/>
    <col min="2060" max="2060" width="13.5546875" style="791" customWidth="1"/>
    <col min="2061" max="2061" width="13.109375" style="791" customWidth="1"/>
    <col min="2062" max="2062" width="26" style="791" bestFit="1" customWidth="1"/>
    <col min="2063" max="2304" width="9.109375" style="791"/>
    <col min="2305" max="2305" width="2" style="791" customWidth="1"/>
    <col min="2306" max="2306" width="5.6640625" style="791" customWidth="1"/>
    <col min="2307" max="2307" width="8.33203125" style="791" customWidth="1"/>
    <col min="2308" max="2308" width="59.109375" style="791" customWidth="1"/>
    <col min="2309" max="2309" width="20.6640625" style="791" customWidth="1"/>
    <col min="2310" max="2313" width="19.33203125" style="791" customWidth="1"/>
    <col min="2314" max="2314" width="20.6640625" style="791" customWidth="1"/>
    <col min="2315" max="2315" width="14.33203125" style="791" customWidth="1"/>
    <col min="2316" max="2316" width="13.5546875" style="791" customWidth="1"/>
    <col min="2317" max="2317" width="13.109375" style="791" customWidth="1"/>
    <col min="2318" max="2318" width="26" style="791" bestFit="1" customWidth="1"/>
    <col min="2319" max="2560" width="9.109375" style="791"/>
    <col min="2561" max="2561" width="2" style="791" customWidth="1"/>
    <col min="2562" max="2562" width="5.6640625" style="791" customWidth="1"/>
    <col min="2563" max="2563" width="8.33203125" style="791" customWidth="1"/>
    <col min="2564" max="2564" width="59.109375" style="791" customWidth="1"/>
    <col min="2565" max="2565" width="20.6640625" style="791" customWidth="1"/>
    <col min="2566" max="2569" width="19.33203125" style="791" customWidth="1"/>
    <col min="2570" max="2570" width="20.6640625" style="791" customWidth="1"/>
    <col min="2571" max="2571" width="14.33203125" style="791" customWidth="1"/>
    <col min="2572" max="2572" width="13.5546875" style="791" customWidth="1"/>
    <col min="2573" max="2573" width="13.109375" style="791" customWidth="1"/>
    <col min="2574" max="2574" width="26" style="791" bestFit="1" customWidth="1"/>
    <col min="2575" max="2816" width="9.109375" style="791"/>
    <col min="2817" max="2817" width="2" style="791" customWidth="1"/>
    <col min="2818" max="2818" width="5.6640625" style="791" customWidth="1"/>
    <col min="2819" max="2819" width="8.33203125" style="791" customWidth="1"/>
    <col min="2820" max="2820" width="59.109375" style="791" customWidth="1"/>
    <col min="2821" max="2821" width="20.6640625" style="791" customWidth="1"/>
    <col min="2822" max="2825" width="19.33203125" style="791" customWidth="1"/>
    <col min="2826" max="2826" width="20.6640625" style="791" customWidth="1"/>
    <col min="2827" max="2827" width="14.33203125" style="791" customWidth="1"/>
    <col min="2828" max="2828" width="13.5546875" style="791" customWidth="1"/>
    <col min="2829" max="2829" width="13.109375" style="791" customWidth="1"/>
    <col min="2830" max="2830" width="26" style="791" bestFit="1" customWidth="1"/>
    <col min="2831" max="3072" width="9.109375" style="791"/>
    <col min="3073" max="3073" width="2" style="791" customWidth="1"/>
    <col min="3074" max="3074" width="5.6640625" style="791" customWidth="1"/>
    <col min="3075" max="3075" width="8.33203125" style="791" customWidth="1"/>
    <col min="3076" max="3076" width="59.109375" style="791" customWidth="1"/>
    <col min="3077" max="3077" width="20.6640625" style="791" customWidth="1"/>
    <col min="3078" max="3081" width="19.33203125" style="791" customWidth="1"/>
    <col min="3082" max="3082" width="20.6640625" style="791" customWidth="1"/>
    <col min="3083" max="3083" width="14.33203125" style="791" customWidth="1"/>
    <col min="3084" max="3084" width="13.5546875" style="791" customWidth="1"/>
    <col min="3085" max="3085" width="13.109375" style="791" customWidth="1"/>
    <col min="3086" max="3086" width="26" style="791" bestFit="1" customWidth="1"/>
    <col min="3087" max="3328" width="9.109375" style="791"/>
    <col min="3329" max="3329" width="2" style="791" customWidth="1"/>
    <col min="3330" max="3330" width="5.6640625" style="791" customWidth="1"/>
    <col min="3331" max="3331" width="8.33203125" style="791" customWidth="1"/>
    <col min="3332" max="3332" width="59.109375" style="791" customWidth="1"/>
    <col min="3333" max="3333" width="20.6640625" style="791" customWidth="1"/>
    <col min="3334" max="3337" width="19.33203125" style="791" customWidth="1"/>
    <col min="3338" max="3338" width="20.6640625" style="791" customWidth="1"/>
    <col min="3339" max="3339" width="14.33203125" style="791" customWidth="1"/>
    <col min="3340" max="3340" width="13.5546875" style="791" customWidth="1"/>
    <col min="3341" max="3341" width="13.109375" style="791" customWidth="1"/>
    <col min="3342" max="3342" width="26" style="791" bestFit="1" customWidth="1"/>
    <col min="3343" max="3584" width="9.109375" style="791"/>
    <col min="3585" max="3585" width="2" style="791" customWidth="1"/>
    <col min="3586" max="3586" width="5.6640625" style="791" customWidth="1"/>
    <col min="3587" max="3587" width="8.33203125" style="791" customWidth="1"/>
    <col min="3588" max="3588" width="59.109375" style="791" customWidth="1"/>
    <col min="3589" max="3589" width="20.6640625" style="791" customWidth="1"/>
    <col min="3590" max="3593" width="19.33203125" style="791" customWidth="1"/>
    <col min="3594" max="3594" width="20.6640625" style="791" customWidth="1"/>
    <col min="3595" max="3595" width="14.33203125" style="791" customWidth="1"/>
    <col min="3596" max="3596" width="13.5546875" style="791" customWidth="1"/>
    <col min="3597" max="3597" width="13.109375" style="791" customWidth="1"/>
    <col min="3598" max="3598" width="26" style="791" bestFit="1" customWidth="1"/>
    <col min="3599" max="3840" width="9.109375" style="791"/>
    <col min="3841" max="3841" width="2" style="791" customWidth="1"/>
    <col min="3842" max="3842" width="5.6640625" style="791" customWidth="1"/>
    <col min="3843" max="3843" width="8.33203125" style="791" customWidth="1"/>
    <col min="3844" max="3844" width="59.109375" style="791" customWidth="1"/>
    <col min="3845" max="3845" width="20.6640625" style="791" customWidth="1"/>
    <col min="3846" max="3849" width="19.33203125" style="791" customWidth="1"/>
    <col min="3850" max="3850" width="20.6640625" style="791" customWidth="1"/>
    <col min="3851" max="3851" width="14.33203125" style="791" customWidth="1"/>
    <col min="3852" max="3852" width="13.5546875" style="791" customWidth="1"/>
    <col min="3853" max="3853" width="13.109375" style="791" customWidth="1"/>
    <col min="3854" max="3854" width="26" style="791" bestFit="1" customWidth="1"/>
    <col min="3855" max="4096" width="9.109375" style="791"/>
    <col min="4097" max="4097" width="2" style="791" customWidth="1"/>
    <col min="4098" max="4098" width="5.6640625" style="791" customWidth="1"/>
    <col min="4099" max="4099" width="8.33203125" style="791" customWidth="1"/>
    <col min="4100" max="4100" width="59.109375" style="791" customWidth="1"/>
    <col min="4101" max="4101" width="20.6640625" style="791" customWidth="1"/>
    <col min="4102" max="4105" width="19.33203125" style="791" customWidth="1"/>
    <col min="4106" max="4106" width="20.6640625" style="791" customWidth="1"/>
    <col min="4107" max="4107" width="14.33203125" style="791" customWidth="1"/>
    <col min="4108" max="4108" width="13.5546875" style="791" customWidth="1"/>
    <col min="4109" max="4109" width="13.109375" style="791" customWidth="1"/>
    <col min="4110" max="4110" width="26" style="791" bestFit="1" customWidth="1"/>
    <col min="4111" max="4352" width="9.109375" style="791"/>
    <col min="4353" max="4353" width="2" style="791" customWidth="1"/>
    <col min="4354" max="4354" width="5.6640625" style="791" customWidth="1"/>
    <col min="4355" max="4355" width="8.33203125" style="791" customWidth="1"/>
    <col min="4356" max="4356" width="59.109375" style="791" customWidth="1"/>
    <col min="4357" max="4357" width="20.6640625" style="791" customWidth="1"/>
    <col min="4358" max="4361" width="19.33203125" style="791" customWidth="1"/>
    <col min="4362" max="4362" width="20.6640625" style="791" customWidth="1"/>
    <col min="4363" max="4363" width="14.33203125" style="791" customWidth="1"/>
    <col min="4364" max="4364" width="13.5546875" style="791" customWidth="1"/>
    <col min="4365" max="4365" width="13.109375" style="791" customWidth="1"/>
    <col min="4366" max="4366" width="26" style="791" bestFit="1" customWidth="1"/>
    <col min="4367" max="4608" width="9.109375" style="791"/>
    <col min="4609" max="4609" width="2" style="791" customWidth="1"/>
    <col min="4610" max="4610" width="5.6640625" style="791" customWidth="1"/>
    <col min="4611" max="4611" width="8.33203125" style="791" customWidth="1"/>
    <col min="4612" max="4612" width="59.109375" style="791" customWidth="1"/>
    <col min="4613" max="4613" width="20.6640625" style="791" customWidth="1"/>
    <col min="4614" max="4617" width="19.33203125" style="791" customWidth="1"/>
    <col min="4618" max="4618" width="20.6640625" style="791" customWidth="1"/>
    <col min="4619" max="4619" width="14.33203125" style="791" customWidth="1"/>
    <col min="4620" max="4620" width="13.5546875" style="791" customWidth="1"/>
    <col min="4621" max="4621" width="13.109375" style="791" customWidth="1"/>
    <col min="4622" max="4622" width="26" style="791" bestFit="1" customWidth="1"/>
    <col min="4623" max="4864" width="9.109375" style="791"/>
    <col min="4865" max="4865" width="2" style="791" customWidth="1"/>
    <col min="4866" max="4866" width="5.6640625" style="791" customWidth="1"/>
    <col min="4867" max="4867" width="8.33203125" style="791" customWidth="1"/>
    <col min="4868" max="4868" width="59.109375" style="791" customWidth="1"/>
    <col min="4869" max="4869" width="20.6640625" style="791" customWidth="1"/>
    <col min="4870" max="4873" width="19.33203125" style="791" customWidth="1"/>
    <col min="4874" max="4874" width="20.6640625" style="791" customWidth="1"/>
    <col min="4875" max="4875" width="14.33203125" style="791" customWidth="1"/>
    <col min="4876" max="4876" width="13.5546875" style="791" customWidth="1"/>
    <col min="4877" max="4877" width="13.109375" style="791" customWidth="1"/>
    <col min="4878" max="4878" width="26" style="791" bestFit="1" customWidth="1"/>
    <col min="4879" max="5120" width="9.109375" style="791"/>
    <col min="5121" max="5121" width="2" style="791" customWidth="1"/>
    <col min="5122" max="5122" width="5.6640625" style="791" customWidth="1"/>
    <col min="5123" max="5123" width="8.33203125" style="791" customWidth="1"/>
    <col min="5124" max="5124" width="59.109375" style="791" customWidth="1"/>
    <col min="5125" max="5125" width="20.6640625" style="791" customWidth="1"/>
    <col min="5126" max="5129" width="19.33203125" style="791" customWidth="1"/>
    <col min="5130" max="5130" width="20.6640625" style="791" customWidth="1"/>
    <col min="5131" max="5131" width="14.33203125" style="791" customWidth="1"/>
    <col min="5132" max="5132" width="13.5546875" style="791" customWidth="1"/>
    <col min="5133" max="5133" width="13.109375" style="791" customWidth="1"/>
    <col min="5134" max="5134" width="26" style="791" bestFit="1" customWidth="1"/>
    <col min="5135" max="5376" width="9.109375" style="791"/>
    <col min="5377" max="5377" width="2" style="791" customWidth="1"/>
    <col min="5378" max="5378" width="5.6640625" style="791" customWidth="1"/>
    <col min="5379" max="5379" width="8.33203125" style="791" customWidth="1"/>
    <col min="5380" max="5380" width="59.109375" style="791" customWidth="1"/>
    <col min="5381" max="5381" width="20.6640625" style="791" customWidth="1"/>
    <col min="5382" max="5385" width="19.33203125" style="791" customWidth="1"/>
    <col min="5386" max="5386" width="20.6640625" style="791" customWidth="1"/>
    <col min="5387" max="5387" width="14.33203125" style="791" customWidth="1"/>
    <col min="5388" max="5388" width="13.5546875" style="791" customWidth="1"/>
    <col min="5389" max="5389" width="13.109375" style="791" customWidth="1"/>
    <col min="5390" max="5390" width="26" style="791" bestFit="1" customWidth="1"/>
    <col min="5391" max="5632" width="9.109375" style="791"/>
    <col min="5633" max="5633" width="2" style="791" customWidth="1"/>
    <col min="5634" max="5634" width="5.6640625" style="791" customWidth="1"/>
    <col min="5635" max="5635" width="8.33203125" style="791" customWidth="1"/>
    <col min="5636" max="5636" width="59.109375" style="791" customWidth="1"/>
    <col min="5637" max="5637" width="20.6640625" style="791" customWidth="1"/>
    <col min="5638" max="5641" width="19.33203125" style="791" customWidth="1"/>
    <col min="5642" max="5642" width="20.6640625" style="791" customWidth="1"/>
    <col min="5643" max="5643" width="14.33203125" style="791" customWidth="1"/>
    <col min="5644" max="5644" width="13.5546875" style="791" customWidth="1"/>
    <col min="5645" max="5645" width="13.109375" style="791" customWidth="1"/>
    <col min="5646" max="5646" width="26" style="791" bestFit="1" customWidth="1"/>
    <col min="5647" max="5888" width="9.109375" style="791"/>
    <col min="5889" max="5889" width="2" style="791" customWidth="1"/>
    <col min="5890" max="5890" width="5.6640625" style="791" customWidth="1"/>
    <col min="5891" max="5891" width="8.33203125" style="791" customWidth="1"/>
    <col min="5892" max="5892" width="59.109375" style="791" customWidth="1"/>
    <col min="5893" max="5893" width="20.6640625" style="791" customWidth="1"/>
    <col min="5894" max="5897" width="19.33203125" style="791" customWidth="1"/>
    <col min="5898" max="5898" width="20.6640625" style="791" customWidth="1"/>
    <col min="5899" max="5899" width="14.33203125" style="791" customWidth="1"/>
    <col min="5900" max="5900" width="13.5546875" style="791" customWidth="1"/>
    <col min="5901" max="5901" width="13.109375" style="791" customWidth="1"/>
    <col min="5902" max="5902" width="26" style="791" bestFit="1" customWidth="1"/>
    <col min="5903" max="6144" width="9.109375" style="791"/>
    <col min="6145" max="6145" width="2" style="791" customWidth="1"/>
    <col min="6146" max="6146" width="5.6640625" style="791" customWidth="1"/>
    <col min="6147" max="6147" width="8.33203125" style="791" customWidth="1"/>
    <col min="6148" max="6148" width="59.109375" style="791" customWidth="1"/>
    <col min="6149" max="6149" width="20.6640625" style="791" customWidth="1"/>
    <col min="6150" max="6153" width="19.33203125" style="791" customWidth="1"/>
    <col min="6154" max="6154" width="20.6640625" style="791" customWidth="1"/>
    <col min="6155" max="6155" width="14.33203125" style="791" customWidth="1"/>
    <col min="6156" max="6156" width="13.5546875" style="791" customWidth="1"/>
    <col min="6157" max="6157" width="13.109375" style="791" customWidth="1"/>
    <col min="6158" max="6158" width="26" style="791" bestFit="1" customWidth="1"/>
    <col min="6159" max="6400" width="9.109375" style="791"/>
    <col min="6401" max="6401" width="2" style="791" customWidth="1"/>
    <col min="6402" max="6402" width="5.6640625" style="791" customWidth="1"/>
    <col min="6403" max="6403" width="8.33203125" style="791" customWidth="1"/>
    <col min="6404" max="6404" width="59.109375" style="791" customWidth="1"/>
    <col min="6405" max="6405" width="20.6640625" style="791" customWidth="1"/>
    <col min="6406" max="6409" width="19.33203125" style="791" customWidth="1"/>
    <col min="6410" max="6410" width="20.6640625" style="791" customWidth="1"/>
    <col min="6411" max="6411" width="14.33203125" style="791" customWidth="1"/>
    <col min="6412" max="6412" width="13.5546875" style="791" customWidth="1"/>
    <col min="6413" max="6413" width="13.109375" style="791" customWidth="1"/>
    <col min="6414" max="6414" width="26" style="791" bestFit="1" customWidth="1"/>
    <col min="6415" max="6656" width="9.109375" style="791"/>
    <col min="6657" max="6657" width="2" style="791" customWidth="1"/>
    <col min="6658" max="6658" width="5.6640625" style="791" customWidth="1"/>
    <col min="6659" max="6659" width="8.33203125" style="791" customWidth="1"/>
    <col min="6660" max="6660" width="59.109375" style="791" customWidth="1"/>
    <col min="6661" max="6661" width="20.6640625" style="791" customWidth="1"/>
    <col min="6662" max="6665" width="19.33203125" style="791" customWidth="1"/>
    <col min="6666" max="6666" width="20.6640625" style="791" customWidth="1"/>
    <col min="6667" max="6667" width="14.33203125" style="791" customWidth="1"/>
    <col min="6668" max="6668" width="13.5546875" style="791" customWidth="1"/>
    <col min="6669" max="6669" width="13.109375" style="791" customWidth="1"/>
    <col min="6670" max="6670" width="26" style="791" bestFit="1" customWidth="1"/>
    <col min="6671" max="6912" width="9.109375" style="791"/>
    <col min="6913" max="6913" width="2" style="791" customWidth="1"/>
    <col min="6914" max="6914" width="5.6640625" style="791" customWidth="1"/>
    <col min="6915" max="6915" width="8.33203125" style="791" customWidth="1"/>
    <col min="6916" max="6916" width="59.109375" style="791" customWidth="1"/>
    <col min="6917" max="6917" width="20.6640625" style="791" customWidth="1"/>
    <col min="6918" max="6921" width="19.33203125" style="791" customWidth="1"/>
    <col min="6922" max="6922" width="20.6640625" style="791" customWidth="1"/>
    <col min="6923" max="6923" width="14.33203125" style="791" customWidth="1"/>
    <col min="6924" max="6924" width="13.5546875" style="791" customWidth="1"/>
    <col min="6925" max="6925" width="13.109375" style="791" customWidth="1"/>
    <col min="6926" max="6926" width="26" style="791" bestFit="1" customWidth="1"/>
    <col min="6927" max="7168" width="9.109375" style="791"/>
    <col min="7169" max="7169" width="2" style="791" customWidth="1"/>
    <col min="7170" max="7170" width="5.6640625" style="791" customWidth="1"/>
    <col min="7171" max="7171" width="8.33203125" style="791" customWidth="1"/>
    <col min="7172" max="7172" width="59.109375" style="791" customWidth="1"/>
    <col min="7173" max="7173" width="20.6640625" style="791" customWidth="1"/>
    <col min="7174" max="7177" width="19.33203125" style="791" customWidth="1"/>
    <col min="7178" max="7178" width="20.6640625" style="791" customWidth="1"/>
    <col min="7179" max="7179" width="14.33203125" style="791" customWidth="1"/>
    <col min="7180" max="7180" width="13.5546875" style="791" customWidth="1"/>
    <col min="7181" max="7181" width="13.109375" style="791" customWidth="1"/>
    <col min="7182" max="7182" width="26" style="791" bestFit="1" customWidth="1"/>
    <col min="7183" max="7424" width="9.109375" style="791"/>
    <col min="7425" max="7425" width="2" style="791" customWidth="1"/>
    <col min="7426" max="7426" width="5.6640625" style="791" customWidth="1"/>
    <col min="7427" max="7427" width="8.33203125" style="791" customWidth="1"/>
    <col min="7428" max="7428" width="59.109375" style="791" customWidth="1"/>
    <col min="7429" max="7429" width="20.6640625" style="791" customWidth="1"/>
    <col min="7430" max="7433" width="19.33203125" style="791" customWidth="1"/>
    <col min="7434" max="7434" width="20.6640625" style="791" customWidth="1"/>
    <col min="7435" max="7435" width="14.33203125" style="791" customWidth="1"/>
    <col min="7436" max="7436" width="13.5546875" style="791" customWidth="1"/>
    <col min="7437" max="7437" width="13.109375" style="791" customWidth="1"/>
    <col min="7438" max="7438" width="26" style="791" bestFit="1" customWidth="1"/>
    <col min="7439" max="7680" width="9.109375" style="791"/>
    <col min="7681" max="7681" width="2" style="791" customWidth="1"/>
    <col min="7682" max="7682" width="5.6640625" style="791" customWidth="1"/>
    <col min="7683" max="7683" width="8.33203125" style="791" customWidth="1"/>
    <col min="7684" max="7684" width="59.109375" style="791" customWidth="1"/>
    <col min="7685" max="7685" width="20.6640625" style="791" customWidth="1"/>
    <col min="7686" max="7689" width="19.33203125" style="791" customWidth="1"/>
    <col min="7690" max="7690" width="20.6640625" style="791" customWidth="1"/>
    <col min="7691" max="7691" width="14.33203125" style="791" customWidth="1"/>
    <col min="7692" max="7692" width="13.5546875" style="791" customWidth="1"/>
    <col min="7693" max="7693" width="13.109375" style="791" customWidth="1"/>
    <col min="7694" max="7694" width="26" style="791" bestFit="1" customWidth="1"/>
    <col min="7695" max="7936" width="9.109375" style="791"/>
    <col min="7937" max="7937" width="2" style="791" customWidth="1"/>
    <col min="7938" max="7938" width="5.6640625" style="791" customWidth="1"/>
    <col min="7939" max="7939" width="8.33203125" style="791" customWidth="1"/>
    <col min="7940" max="7940" width="59.109375" style="791" customWidth="1"/>
    <col min="7941" max="7941" width="20.6640625" style="791" customWidth="1"/>
    <col min="7942" max="7945" width="19.33203125" style="791" customWidth="1"/>
    <col min="7946" max="7946" width="20.6640625" style="791" customWidth="1"/>
    <col min="7947" max="7947" width="14.33203125" style="791" customWidth="1"/>
    <col min="7948" max="7948" width="13.5546875" style="791" customWidth="1"/>
    <col min="7949" max="7949" width="13.109375" style="791" customWidth="1"/>
    <col min="7950" max="7950" width="26" style="791" bestFit="1" customWidth="1"/>
    <col min="7951" max="8192" width="9.109375" style="791"/>
    <col min="8193" max="8193" width="2" style="791" customWidth="1"/>
    <col min="8194" max="8194" width="5.6640625" style="791" customWidth="1"/>
    <col min="8195" max="8195" width="8.33203125" style="791" customWidth="1"/>
    <col min="8196" max="8196" width="59.109375" style="791" customWidth="1"/>
    <col min="8197" max="8197" width="20.6640625" style="791" customWidth="1"/>
    <col min="8198" max="8201" width="19.33203125" style="791" customWidth="1"/>
    <col min="8202" max="8202" width="20.6640625" style="791" customWidth="1"/>
    <col min="8203" max="8203" width="14.33203125" style="791" customWidth="1"/>
    <col min="8204" max="8204" width="13.5546875" style="791" customWidth="1"/>
    <col min="8205" max="8205" width="13.109375" style="791" customWidth="1"/>
    <col min="8206" max="8206" width="26" style="791" bestFit="1" customWidth="1"/>
    <col min="8207" max="8448" width="9.109375" style="791"/>
    <col min="8449" max="8449" width="2" style="791" customWidth="1"/>
    <col min="8450" max="8450" width="5.6640625" style="791" customWidth="1"/>
    <col min="8451" max="8451" width="8.33203125" style="791" customWidth="1"/>
    <col min="8452" max="8452" width="59.109375" style="791" customWidth="1"/>
    <col min="8453" max="8453" width="20.6640625" style="791" customWidth="1"/>
    <col min="8454" max="8457" width="19.33203125" style="791" customWidth="1"/>
    <col min="8458" max="8458" width="20.6640625" style="791" customWidth="1"/>
    <col min="8459" max="8459" width="14.33203125" style="791" customWidth="1"/>
    <col min="8460" max="8460" width="13.5546875" style="791" customWidth="1"/>
    <col min="8461" max="8461" width="13.109375" style="791" customWidth="1"/>
    <col min="8462" max="8462" width="26" style="791" bestFit="1" customWidth="1"/>
    <col min="8463" max="8704" width="9.109375" style="791"/>
    <col min="8705" max="8705" width="2" style="791" customWidth="1"/>
    <col min="8706" max="8706" width="5.6640625" style="791" customWidth="1"/>
    <col min="8707" max="8707" width="8.33203125" style="791" customWidth="1"/>
    <col min="8708" max="8708" width="59.109375" style="791" customWidth="1"/>
    <col min="8709" max="8709" width="20.6640625" style="791" customWidth="1"/>
    <col min="8710" max="8713" width="19.33203125" style="791" customWidth="1"/>
    <col min="8714" max="8714" width="20.6640625" style="791" customWidth="1"/>
    <col min="8715" max="8715" width="14.33203125" style="791" customWidth="1"/>
    <col min="8716" max="8716" width="13.5546875" style="791" customWidth="1"/>
    <col min="8717" max="8717" width="13.109375" style="791" customWidth="1"/>
    <col min="8718" max="8718" width="26" style="791" bestFit="1" customWidth="1"/>
    <col min="8719" max="8960" width="9.109375" style="791"/>
    <col min="8961" max="8961" width="2" style="791" customWidth="1"/>
    <col min="8962" max="8962" width="5.6640625" style="791" customWidth="1"/>
    <col min="8963" max="8963" width="8.33203125" style="791" customWidth="1"/>
    <col min="8964" max="8964" width="59.109375" style="791" customWidth="1"/>
    <col min="8965" max="8965" width="20.6640625" style="791" customWidth="1"/>
    <col min="8966" max="8969" width="19.33203125" style="791" customWidth="1"/>
    <col min="8970" max="8970" width="20.6640625" style="791" customWidth="1"/>
    <col min="8971" max="8971" width="14.33203125" style="791" customWidth="1"/>
    <col min="8972" max="8972" width="13.5546875" style="791" customWidth="1"/>
    <col min="8973" max="8973" width="13.109375" style="791" customWidth="1"/>
    <col min="8974" max="8974" width="26" style="791" bestFit="1" customWidth="1"/>
    <col min="8975" max="9216" width="9.109375" style="791"/>
    <col min="9217" max="9217" width="2" style="791" customWidth="1"/>
    <col min="9218" max="9218" width="5.6640625" style="791" customWidth="1"/>
    <col min="9219" max="9219" width="8.33203125" style="791" customWidth="1"/>
    <col min="9220" max="9220" width="59.109375" style="791" customWidth="1"/>
    <col min="9221" max="9221" width="20.6640625" style="791" customWidth="1"/>
    <col min="9222" max="9225" width="19.33203125" style="791" customWidth="1"/>
    <col min="9226" max="9226" width="20.6640625" style="791" customWidth="1"/>
    <col min="9227" max="9227" width="14.33203125" style="791" customWidth="1"/>
    <col min="9228" max="9228" width="13.5546875" style="791" customWidth="1"/>
    <col min="9229" max="9229" width="13.109375" style="791" customWidth="1"/>
    <col min="9230" max="9230" width="26" style="791" bestFit="1" customWidth="1"/>
    <col min="9231" max="9472" width="9.109375" style="791"/>
    <col min="9473" max="9473" width="2" style="791" customWidth="1"/>
    <col min="9474" max="9474" width="5.6640625" style="791" customWidth="1"/>
    <col min="9475" max="9475" width="8.33203125" style="791" customWidth="1"/>
    <col min="9476" max="9476" width="59.109375" style="791" customWidth="1"/>
    <col min="9477" max="9477" width="20.6640625" style="791" customWidth="1"/>
    <col min="9478" max="9481" width="19.33203125" style="791" customWidth="1"/>
    <col min="9482" max="9482" width="20.6640625" style="791" customWidth="1"/>
    <col min="9483" max="9483" width="14.33203125" style="791" customWidth="1"/>
    <col min="9484" max="9484" width="13.5546875" style="791" customWidth="1"/>
    <col min="9485" max="9485" width="13.109375" style="791" customWidth="1"/>
    <col min="9486" max="9486" width="26" style="791" bestFit="1" customWidth="1"/>
    <col min="9487" max="9728" width="9.109375" style="791"/>
    <col min="9729" max="9729" width="2" style="791" customWidth="1"/>
    <col min="9730" max="9730" width="5.6640625" style="791" customWidth="1"/>
    <col min="9731" max="9731" width="8.33203125" style="791" customWidth="1"/>
    <col min="9732" max="9732" width="59.109375" style="791" customWidth="1"/>
    <col min="9733" max="9733" width="20.6640625" style="791" customWidth="1"/>
    <col min="9734" max="9737" width="19.33203125" style="791" customWidth="1"/>
    <col min="9738" max="9738" width="20.6640625" style="791" customWidth="1"/>
    <col min="9739" max="9739" width="14.33203125" style="791" customWidth="1"/>
    <col min="9740" max="9740" width="13.5546875" style="791" customWidth="1"/>
    <col min="9741" max="9741" width="13.109375" style="791" customWidth="1"/>
    <col min="9742" max="9742" width="26" style="791" bestFit="1" customWidth="1"/>
    <col min="9743" max="9984" width="9.109375" style="791"/>
    <col min="9985" max="9985" width="2" style="791" customWidth="1"/>
    <col min="9986" max="9986" width="5.6640625" style="791" customWidth="1"/>
    <col min="9987" max="9987" width="8.33203125" style="791" customWidth="1"/>
    <col min="9988" max="9988" width="59.109375" style="791" customWidth="1"/>
    <col min="9989" max="9989" width="20.6640625" style="791" customWidth="1"/>
    <col min="9990" max="9993" width="19.33203125" style="791" customWidth="1"/>
    <col min="9994" max="9994" width="20.6640625" style="791" customWidth="1"/>
    <col min="9995" max="9995" width="14.33203125" style="791" customWidth="1"/>
    <col min="9996" max="9996" width="13.5546875" style="791" customWidth="1"/>
    <col min="9997" max="9997" width="13.109375" style="791" customWidth="1"/>
    <col min="9998" max="9998" width="26" style="791" bestFit="1" customWidth="1"/>
    <col min="9999" max="10240" width="9.109375" style="791"/>
    <col min="10241" max="10241" width="2" style="791" customWidth="1"/>
    <col min="10242" max="10242" width="5.6640625" style="791" customWidth="1"/>
    <col min="10243" max="10243" width="8.33203125" style="791" customWidth="1"/>
    <col min="10244" max="10244" width="59.109375" style="791" customWidth="1"/>
    <col min="10245" max="10245" width="20.6640625" style="791" customWidth="1"/>
    <col min="10246" max="10249" width="19.33203125" style="791" customWidth="1"/>
    <col min="10250" max="10250" width="20.6640625" style="791" customWidth="1"/>
    <col min="10251" max="10251" width="14.33203125" style="791" customWidth="1"/>
    <col min="10252" max="10252" width="13.5546875" style="791" customWidth="1"/>
    <col min="10253" max="10253" width="13.109375" style="791" customWidth="1"/>
    <col min="10254" max="10254" width="26" style="791" bestFit="1" customWidth="1"/>
    <col min="10255" max="10496" width="9.109375" style="791"/>
    <col min="10497" max="10497" width="2" style="791" customWidth="1"/>
    <col min="10498" max="10498" width="5.6640625" style="791" customWidth="1"/>
    <col min="10499" max="10499" width="8.33203125" style="791" customWidth="1"/>
    <col min="10500" max="10500" width="59.109375" style="791" customWidth="1"/>
    <col min="10501" max="10501" width="20.6640625" style="791" customWidth="1"/>
    <col min="10502" max="10505" width="19.33203125" style="791" customWidth="1"/>
    <col min="10506" max="10506" width="20.6640625" style="791" customWidth="1"/>
    <col min="10507" max="10507" width="14.33203125" style="791" customWidth="1"/>
    <col min="10508" max="10508" width="13.5546875" style="791" customWidth="1"/>
    <col min="10509" max="10509" width="13.109375" style="791" customWidth="1"/>
    <col min="10510" max="10510" width="26" style="791" bestFit="1" customWidth="1"/>
    <col min="10511" max="10752" width="9.109375" style="791"/>
    <col min="10753" max="10753" width="2" style="791" customWidth="1"/>
    <col min="10754" max="10754" width="5.6640625" style="791" customWidth="1"/>
    <col min="10755" max="10755" width="8.33203125" style="791" customWidth="1"/>
    <col min="10756" max="10756" width="59.109375" style="791" customWidth="1"/>
    <col min="10757" max="10757" width="20.6640625" style="791" customWidth="1"/>
    <col min="10758" max="10761" width="19.33203125" style="791" customWidth="1"/>
    <col min="10762" max="10762" width="20.6640625" style="791" customWidth="1"/>
    <col min="10763" max="10763" width="14.33203125" style="791" customWidth="1"/>
    <col min="10764" max="10764" width="13.5546875" style="791" customWidth="1"/>
    <col min="10765" max="10765" width="13.109375" style="791" customWidth="1"/>
    <col min="10766" max="10766" width="26" style="791" bestFit="1" customWidth="1"/>
    <col min="10767" max="11008" width="9.109375" style="791"/>
    <col min="11009" max="11009" width="2" style="791" customWidth="1"/>
    <col min="11010" max="11010" width="5.6640625" style="791" customWidth="1"/>
    <col min="11011" max="11011" width="8.33203125" style="791" customWidth="1"/>
    <col min="11012" max="11012" width="59.109375" style="791" customWidth="1"/>
    <col min="11013" max="11013" width="20.6640625" style="791" customWidth="1"/>
    <col min="11014" max="11017" width="19.33203125" style="791" customWidth="1"/>
    <col min="11018" max="11018" width="20.6640625" style="791" customWidth="1"/>
    <col min="11019" max="11019" width="14.33203125" style="791" customWidth="1"/>
    <col min="11020" max="11020" width="13.5546875" style="791" customWidth="1"/>
    <col min="11021" max="11021" width="13.109375" style="791" customWidth="1"/>
    <col min="11022" max="11022" width="26" style="791" bestFit="1" customWidth="1"/>
    <col min="11023" max="11264" width="9.109375" style="791"/>
    <col min="11265" max="11265" width="2" style="791" customWidth="1"/>
    <col min="11266" max="11266" width="5.6640625" style="791" customWidth="1"/>
    <col min="11267" max="11267" width="8.33203125" style="791" customWidth="1"/>
    <col min="11268" max="11268" width="59.109375" style="791" customWidth="1"/>
    <col min="11269" max="11269" width="20.6640625" style="791" customWidth="1"/>
    <col min="11270" max="11273" width="19.33203125" style="791" customWidth="1"/>
    <col min="11274" max="11274" width="20.6640625" style="791" customWidth="1"/>
    <col min="11275" max="11275" width="14.33203125" style="791" customWidth="1"/>
    <col min="11276" max="11276" width="13.5546875" style="791" customWidth="1"/>
    <col min="11277" max="11277" width="13.109375" style="791" customWidth="1"/>
    <col min="11278" max="11278" width="26" style="791" bestFit="1" customWidth="1"/>
    <col min="11279" max="11520" width="9.109375" style="791"/>
    <col min="11521" max="11521" width="2" style="791" customWidth="1"/>
    <col min="11522" max="11522" width="5.6640625" style="791" customWidth="1"/>
    <col min="11523" max="11523" width="8.33203125" style="791" customWidth="1"/>
    <col min="11524" max="11524" width="59.109375" style="791" customWidth="1"/>
    <col min="11525" max="11525" width="20.6640625" style="791" customWidth="1"/>
    <col min="11526" max="11529" width="19.33203125" style="791" customWidth="1"/>
    <col min="11530" max="11530" width="20.6640625" style="791" customWidth="1"/>
    <col min="11531" max="11531" width="14.33203125" style="791" customWidth="1"/>
    <col min="11532" max="11532" width="13.5546875" style="791" customWidth="1"/>
    <col min="11533" max="11533" width="13.109375" style="791" customWidth="1"/>
    <col min="11534" max="11534" width="26" style="791" bestFit="1" customWidth="1"/>
    <col min="11535" max="11776" width="9.109375" style="791"/>
    <col min="11777" max="11777" width="2" style="791" customWidth="1"/>
    <col min="11778" max="11778" width="5.6640625" style="791" customWidth="1"/>
    <col min="11779" max="11779" width="8.33203125" style="791" customWidth="1"/>
    <col min="11780" max="11780" width="59.109375" style="791" customWidth="1"/>
    <col min="11781" max="11781" width="20.6640625" style="791" customWidth="1"/>
    <col min="11782" max="11785" width="19.33203125" style="791" customWidth="1"/>
    <col min="11786" max="11786" width="20.6640625" style="791" customWidth="1"/>
    <col min="11787" max="11787" width="14.33203125" style="791" customWidth="1"/>
    <col min="11788" max="11788" width="13.5546875" style="791" customWidth="1"/>
    <col min="11789" max="11789" width="13.109375" style="791" customWidth="1"/>
    <col min="11790" max="11790" width="26" style="791" bestFit="1" customWidth="1"/>
    <col min="11791" max="12032" width="9.109375" style="791"/>
    <col min="12033" max="12033" width="2" style="791" customWidth="1"/>
    <col min="12034" max="12034" width="5.6640625" style="791" customWidth="1"/>
    <col min="12035" max="12035" width="8.33203125" style="791" customWidth="1"/>
    <col min="12036" max="12036" width="59.109375" style="791" customWidth="1"/>
    <col min="12037" max="12037" width="20.6640625" style="791" customWidth="1"/>
    <col min="12038" max="12041" width="19.33203125" style="791" customWidth="1"/>
    <col min="12042" max="12042" width="20.6640625" style="791" customWidth="1"/>
    <col min="12043" max="12043" width="14.33203125" style="791" customWidth="1"/>
    <col min="12044" max="12044" width="13.5546875" style="791" customWidth="1"/>
    <col min="12045" max="12045" width="13.109375" style="791" customWidth="1"/>
    <col min="12046" max="12046" width="26" style="791" bestFit="1" customWidth="1"/>
    <col min="12047" max="12288" width="9.109375" style="791"/>
    <col min="12289" max="12289" width="2" style="791" customWidth="1"/>
    <col min="12290" max="12290" width="5.6640625" style="791" customWidth="1"/>
    <col min="12291" max="12291" width="8.33203125" style="791" customWidth="1"/>
    <col min="12292" max="12292" width="59.109375" style="791" customWidth="1"/>
    <col min="12293" max="12293" width="20.6640625" style="791" customWidth="1"/>
    <col min="12294" max="12297" width="19.33203125" style="791" customWidth="1"/>
    <col min="12298" max="12298" width="20.6640625" style="791" customWidth="1"/>
    <col min="12299" max="12299" width="14.33203125" style="791" customWidth="1"/>
    <col min="12300" max="12300" width="13.5546875" style="791" customWidth="1"/>
    <col min="12301" max="12301" width="13.109375" style="791" customWidth="1"/>
    <col min="12302" max="12302" width="26" style="791" bestFit="1" customWidth="1"/>
    <col min="12303" max="12544" width="9.109375" style="791"/>
    <col min="12545" max="12545" width="2" style="791" customWidth="1"/>
    <col min="12546" max="12546" width="5.6640625" style="791" customWidth="1"/>
    <col min="12547" max="12547" width="8.33203125" style="791" customWidth="1"/>
    <col min="12548" max="12548" width="59.109375" style="791" customWidth="1"/>
    <col min="12549" max="12549" width="20.6640625" style="791" customWidth="1"/>
    <col min="12550" max="12553" width="19.33203125" style="791" customWidth="1"/>
    <col min="12554" max="12554" width="20.6640625" style="791" customWidth="1"/>
    <col min="12555" max="12555" width="14.33203125" style="791" customWidth="1"/>
    <col min="12556" max="12556" width="13.5546875" style="791" customWidth="1"/>
    <col min="12557" max="12557" width="13.109375" style="791" customWidth="1"/>
    <col min="12558" max="12558" width="26" style="791" bestFit="1" customWidth="1"/>
    <col min="12559" max="12800" width="9.109375" style="791"/>
    <col min="12801" max="12801" width="2" style="791" customWidth="1"/>
    <col min="12802" max="12802" width="5.6640625" style="791" customWidth="1"/>
    <col min="12803" max="12803" width="8.33203125" style="791" customWidth="1"/>
    <col min="12804" max="12804" width="59.109375" style="791" customWidth="1"/>
    <col min="12805" max="12805" width="20.6640625" style="791" customWidth="1"/>
    <col min="12806" max="12809" width="19.33203125" style="791" customWidth="1"/>
    <col min="12810" max="12810" width="20.6640625" style="791" customWidth="1"/>
    <col min="12811" max="12811" width="14.33203125" style="791" customWidth="1"/>
    <col min="12812" max="12812" width="13.5546875" style="791" customWidth="1"/>
    <col min="12813" max="12813" width="13.109375" style="791" customWidth="1"/>
    <col min="12814" max="12814" width="26" style="791" bestFit="1" customWidth="1"/>
    <col min="12815" max="13056" width="9.109375" style="791"/>
    <col min="13057" max="13057" width="2" style="791" customWidth="1"/>
    <col min="13058" max="13058" width="5.6640625" style="791" customWidth="1"/>
    <col min="13059" max="13059" width="8.33203125" style="791" customWidth="1"/>
    <col min="13060" max="13060" width="59.109375" style="791" customWidth="1"/>
    <col min="13061" max="13061" width="20.6640625" style="791" customWidth="1"/>
    <col min="13062" max="13065" width="19.33203125" style="791" customWidth="1"/>
    <col min="13066" max="13066" width="20.6640625" style="791" customWidth="1"/>
    <col min="13067" max="13067" width="14.33203125" style="791" customWidth="1"/>
    <col min="13068" max="13068" width="13.5546875" style="791" customWidth="1"/>
    <col min="13069" max="13069" width="13.109375" style="791" customWidth="1"/>
    <col min="13070" max="13070" width="26" style="791" bestFit="1" customWidth="1"/>
    <col min="13071" max="13312" width="9.109375" style="791"/>
    <col min="13313" max="13313" width="2" style="791" customWidth="1"/>
    <col min="13314" max="13314" width="5.6640625" style="791" customWidth="1"/>
    <col min="13315" max="13315" width="8.33203125" style="791" customWidth="1"/>
    <col min="13316" max="13316" width="59.109375" style="791" customWidth="1"/>
    <col min="13317" max="13317" width="20.6640625" style="791" customWidth="1"/>
    <col min="13318" max="13321" width="19.33203125" style="791" customWidth="1"/>
    <col min="13322" max="13322" width="20.6640625" style="791" customWidth="1"/>
    <col min="13323" max="13323" width="14.33203125" style="791" customWidth="1"/>
    <col min="13324" max="13324" width="13.5546875" style="791" customWidth="1"/>
    <col min="13325" max="13325" width="13.109375" style="791" customWidth="1"/>
    <col min="13326" max="13326" width="26" style="791" bestFit="1" customWidth="1"/>
    <col min="13327" max="13568" width="9.109375" style="791"/>
    <col min="13569" max="13569" width="2" style="791" customWidth="1"/>
    <col min="13570" max="13570" width="5.6640625" style="791" customWidth="1"/>
    <col min="13571" max="13571" width="8.33203125" style="791" customWidth="1"/>
    <col min="13572" max="13572" width="59.109375" style="791" customWidth="1"/>
    <col min="13573" max="13573" width="20.6640625" style="791" customWidth="1"/>
    <col min="13574" max="13577" width="19.33203125" style="791" customWidth="1"/>
    <col min="13578" max="13578" width="20.6640625" style="791" customWidth="1"/>
    <col min="13579" max="13579" width="14.33203125" style="791" customWidth="1"/>
    <col min="13580" max="13580" width="13.5546875" style="791" customWidth="1"/>
    <col min="13581" max="13581" width="13.109375" style="791" customWidth="1"/>
    <col min="13582" max="13582" width="26" style="791" bestFit="1" customWidth="1"/>
    <col min="13583" max="13824" width="9.109375" style="791"/>
    <col min="13825" max="13825" width="2" style="791" customWidth="1"/>
    <col min="13826" max="13826" width="5.6640625" style="791" customWidth="1"/>
    <col min="13827" max="13827" width="8.33203125" style="791" customWidth="1"/>
    <col min="13828" max="13828" width="59.109375" style="791" customWidth="1"/>
    <col min="13829" max="13829" width="20.6640625" style="791" customWidth="1"/>
    <col min="13830" max="13833" width="19.33203125" style="791" customWidth="1"/>
    <col min="13834" max="13834" width="20.6640625" style="791" customWidth="1"/>
    <col min="13835" max="13835" width="14.33203125" style="791" customWidth="1"/>
    <col min="13836" max="13836" width="13.5546875" style="791" customWidth="1"/>
    <col min="13837" max="13837" width="13.109375" style="791" customWidth="1"/>
    <col min="13838" max="13838" width="26" style="791" bestFit="1" customWidth="1"/>
    <col min="13839" max="14080" width="9.109375" style="791"/>
    <col min="14081" max="14081" width="2" style="791" customWidth="1"/>
    <col min="14082" max="14082" width="5.6640625" style="791" customWidth="1"/>
    <col min="14083" max="14083" width="8.33203125" style="791" customWidth="1"/>
    <col min="14084" max="14084" width="59.109375" style="791" customWidth="1"/>
    <col min="14085" max="14085" width="20.6640625" style="791" customWidth="1"/>
    <col min="14086" max="14089" width="19.33203125" style="791" customWidth="1"/>
    <col min="14090" max="14090" width="20.6640625" style="791" customWidth="1"/>
    <col min="14091" max="14091" width="14.33203125" style="791" customWidth="1"/>
    <col min="14092" max="14092" width="13.5546875" style="791" customWidth="1"/>
    <col min="14093" max="14093" width="13.109375" style="791" customWidth="1"/>
    <col min="14094" max="14094" width="26" style="791" bestFit="1" customWidth="1"/>
    <col min="14095" max="14336" width="9.109375" style="791"/>
    <col min="14337" max="14337" width="2" style="791" customWidth="1"/>
    <col min="14338" max="14338" width="5.6640625" style="791" customWidth="1"/>
    <col min="14339" max="14339" width="8.33203125" style="791" customWidth="1"/>
    <col min="14340" max="14340" width="59.109375" style="791" customWidth="1"/>
    <col min="14341" max="14341" width="20.6640625" style="791" customWidth="1"/>
    <col min="14342" max="14345" width="19.33203125" style="791" customWidth="1"/>
    <col min="14346" max="14346" width="20.6640625" style="791" customWidth="1"/>
    <col min="14347" max="14347" width="14.33203125" style="791" customWidth="1"/>
    <col min="14348" max="14348" width="13.5546875" style="791" customWidth="1"/>
    <col min="14349" max="14349" width="13.109375" style="791" customWidth="1"/>
    <col min="14350" max="14350" width="26" style="791" bestFit="1" customWidth="1"/>
    <col min="14351" max="14592" width="9.109375" style="791"/>
    <col min="14593" max="14593" width="2" style="791" customWidth="1"/>
    <col min="14594" max="14594" width="5.6640625" style="791" customWidth="1"/>
    <col min="14595" max="14595" width="8.33203125" style="791" customWidth="1"/>
    <col min="14596" max="14596" width="59.109375" style="791" customWidth="1"/>
    <col min="14597" max="14597" width="20.6640625" style="791" customWidth="1"/>
    <col min="14598" max="14601" width="19.33203125" style="791" customWidth="1"/>
    <col min="14602" max="14602" width="20.6640625" style="791" customWidth="1"/>
    <col min="14603" max="14603" width="14.33203125" style="791" customWidth="1"/>
    <col min="14604" max="14604" width="13.5546875" style="791" customWidth="1"/>
    <col min="14605" max="14605" width="13.109375" style="791" customWidth="1"/>
    <col min="14606" max="14606" width="26" style="791" bestFit="1" customWidth="1"/>
    <col min="14607" max="14848" width="9.109375" style="791"/>
    <col min="14849" max="14849" width="2" style="791" customWidth="1"/>
    <col min="14850" max="14850" width="5.6640625" style="791" customWidth="1"/>
    <col min="14851" max="14851" width="8.33203125" style="791" customWidth="1"/>
    <col min="14852" max="14852" width="59.109375" style="791" customWidth="1"/>
    <col min="14853" max="14853" width="20.6640625" style="791" customWidth="1"/>
    <col min="14854" max="14857" width="19.33203125" style="791" customWidth="1"/>
    <col min="14858" max="14858" width="20.6640625" style="791" customWidth="1"/>
    <col min="14859" max="14859" width="14.33203125" style="791" customWidth="1"/>
    <col min="14860" max="14860" width="13.5546875" style="791" customWidth="1"/>
    <col min="14861" max="14861" width="13.109375" style="791" customWidth="1"/>
    <col min="14862" max="14862" width="26" style="791" bestFit="1" customWidth="1"/>
    <col min="14863" max="15104" width="9.109375" style="791"/>
    <col min="15105" max="15105" width="2" style="791" customWidth="1"/>
    <col min="15106" max="15106" width="5.6640625" style="791" customWidth="1"/>
    <col min="15107" max="15107" width="8.33203125" style="791" customWidth="1"/>
    <col min="15108" max="15108" width="59.109375" style="791" customWidth="1"/>
    <col min="15109" max="15109" width="20.6640625" style="791" customWidth="1"/>
    <col min="15110" max="15113" width="19.33203125" style="791" customWidth="1"/>
    <col min="15114" max="15114" width="20.6640625" style="791" customWidth="1"/>
    <col min="15115" max="15115" width="14.33203125" style="791" customWidth="1"/>
    <col min="15116" max="15116" width="13.5546875" style="791" customWidth="1"/>
    <col min="15117" max="15117" width="13.109375" style="791" customWidth="1"/>
    <col min="15118" max="15118" width="26" style="791" bestFit="1" customWidth="1"/>
    <col min="15119" max="15360" width="9.109375" style="791"/>
    <col min="15361" max="15361" width="2" style="791" customWidth="1"/>
    <col min="15362" max="15362" width="5.6640625" style="791" customWidth="1"/>
    <col min="15363" max="15363" width="8.33203125" style="791" customWidth="1"/>
    <col min="15364" max="15364" width="59.109375" style="791" customWidth="1"/>
    <col min="15365" max="15365" width="20.6640625" style="791" customWidth="1"/>
    <col min="15366" max="15369" width="19.33203125" style="791" customWidth="1"/>
    <col min="15370" max="15370" width="20.6640625" style="791" customWidth="1"/>
    <col min="15371" max="15371" width="14.33203125" style="791" customWidth="1"/>
    <col min="15372" max="15372" width="13.5546875" style="791" customWidth="1"/>
    <col min="15373" max="15373" width="13.109375" style="791" customWidth="1"/>
    <col min="15374" max="15374" width="26" style="791" bestFit="1" customWidth="1"/>
    <col min="15375" max="15616" width="9.109375" style="791"/>
    <col min="15617" max="15617" width="2" style="791" customWidth="1"/>
    <col min="15618" max="15618" width="5.6640625" style="791" customWidth="1"/>
    <col min="15619" max="15619" width="8.33203125" style="791" customWidth="1"/>
    <col min="15620" max="15620" width="59.109375" style="791" customWidth="1"/>
    <col min="15621" max="15621" width="20.6640625" style="791" customWidth="1"/>
    <col min="15622" max="15625" width="19.33203125" style="791" customWidth="1"/>
    <col min="15626" max="15626" width="20.6640625" style="791" customWidth="1"/>
    <col min="15627" max="15627" width="14.33203125" style="791" customWidth="1"/>
    <col min="15628" max="15628" width="13.5546875" style="791" customWidth="1"/>
    <col min="15629" max="15629" width="13.109375" style="791" customWidth="1"/>
    <col min="15630" max="15630" width="26" style="791" bestFit="1" customWidth="1"/>
    <col min="15631" max="15872" width="9.109375" style="791"/>
    <col min="15873" max="15873" width="2" style="791" customWidth="1"/>
    <col min="15874" max="15874" width="5.6640625" style="791" customWidth="1"/>
    <col min="15875" max="15875" width="8.33203125" style="791" customWidth="1"/>
    <col min="15876" max="15876" width="59.109375" style="791" customWidth="1"/>
    <col min="15877" max="15877" width="20.6640625" style="791" customWidth="1"/>
    <col min="15878" max="15881" width="19.33203125" style="791" customWidth="1"/>
    <col min="15882" max="15882" width="20.6640625" style="791" customWidth="1"/>
    <col min="15883" max="15883" width="14.33203125" style="791" customWidth="1"/>
    <col min="15884" max="15884" width="13.5546875" style="791" customWidth="1"/>
    <col min="15885" max="15885" width="13.109375" style="791" customWidth="1"/>
    <col min="15886" max="15886" width="26" style="791" bestFit="1" customWidth="1"/>
    <col min="15887" max="16128" width="9.109375" style="791"/>
    <col min="16129" max="16129" width="2" style="791" customWidth="1"/>
    <col min="16130" max="16130" width="5.6640625" style="791" customWidth="1"/>
    <col min="16131" max="16131" width="8.33203125" style="791" customWidth="1"/>
    <col min="16132" max="16132" width="59.109375" style="791" customWidth="1"/>
    <col min="16133" max="16133" width="20.6640625" style="791" customWidth="1"/>
    <col min="16134" max="16137" width="19.33203125" style="791" customWidth="1"/>
    <col min="16138" max="16138" width="20.6640625" style="791" customWidth="1"/>
    <col min="16139" max="16139" width="14.33203125" style="791" customWidth="1"/>
    <col min="16140" max="16140" width="13.5546875" style="791" customWidth="1"/>
    <col min="16141" max="16141" width="13.109375" style="791" customWidth="1"/>
    <col min="16142" max="16142" width="26" style="791" bestFit="1" customWidth="1"/>
    <col min="16143" max="16384" width="9.109375" style="791"/>
  </cols>
  <sheetData>
    <row r="1" spans="2:14" ht="20.399999999999999">
      <c r="B1" s="944" t="s">
        <v>1349</v>
      </c>
      <c r="C1" s="944"/>
      <c r="D1" s="956"/>
      <c r="E1" s="956"/>
      <c r="F1" s="956"/>
      <c r="G1" s="956"/>
      <c r="H1" s="956"/>
      <c r="I1" s="956"/>
      <c r="J1" s="956"/>
      <c r="K1" s="956"/>
      <c r="L1" s="956"/>
      <c r="M1" s="956"/>
      <c r="N1" s="956"/>
    </row>
    <row r="2" spans="2:14" ht="19.2">
      <c r="B2" s="957" t="str">
        <f>Inputs!B2</f>
        <v>(For Rate Year Beginning April 1, 2026, Based on December 31, 2025 Data)</v>
      </c>
      <c r="C2" s="957"/>
      <c r="D2" s="957"/>
      <c r="E2" s="957"/>
      <c r="F2" s="957"/>
      <c r="G2" s="957"/>
      <c r="H2" s="957"/>
      <c r="I2" s="957"/>
      <c r="J2" s="957"/>
      <c r="K2" s="959"/>
      <c r="L2" s="959"/>
      <c r="M2" s="959"/>
      <c r="N2" s="959"/>
    </row>
    <row r="3" spans="2:14" ht="8.1" customHeight="1">
      <c r="B3" s="169"/>
      <c r="C3" s="168"/>
      <c r="D3" s="170"/>
      <c r="E3" s="170"/>
      <c r="F3" s="170"/>
      <c r="G3" s="170"/>
      <c r="H3" s="170"/>
      <c r="I3" s="170"/>
      <c r="J3" s="170"/>
      <c r="K3" s="170"/>
      <c r="L3" s="170"/>
      <c r="M3" s="170"/>
      <c r="N3" s="170"/>
    </row>
    <row r="4" spans="2:14" ht="14.4">
      <c r="B4" s="169"/>
      <c r="C4" s="168"/>
      <c r="D4" s="171"/>
      <c r="E4" s="744" t="s">
        <v>533</v>
      </c>
      <c r="F4" s="744" t="s">
        <v>534</v>
      </c>
      <c r="G4" s="744" t="s">
        <v>535</v>
      </c>
      <c r="H4" s="744" t="s">
        <v>536</v>
      </c>
      <c r="I4" s="744" t="s">
        <v>537</v>
      </c>
      <c r="J4" s="744" t="s">
        <v>538</v>
      </c>
      <c r="K4" s="744" t="s">
        <v>539</v>
      </c>
      <c r="L4" s="744" t="s">
        <v>1281</v>
      </c>
      <c r="M4" s="744" t="s">
        <v>1282</v>
      </c>
      <c r="N4" s="744" t="s">
        <v>1288</v>
      </c>
    </row>
    <row r="5" spans="2:14" ht="15" customHeight="1">
      <c r="B5" s="169"/>
      <c r="C5" s="168"/>
      <c r="D5" s="170"/>
      <c r="E5" s="966" t="s">
        <v>1350</v>
      </c>
      <c r="F5" s="968" t="s">
        <v>325</v>
      </c>
      <c r="G5" s="968" t="s">
        <v>326</v>
      </c>
      <c r="H5" s="971" t="s">
        <v>1283</v>
      </c>
      <c r="I5" s="971" t="s">
        <v>1284</v>
      </c>
      <c r="J5" s="966" t="s">
        <v>1351</v>
      </c>
      <c r="K5" s="966" t="s">
        <v>1352</v>
      </c>
      <c r="L5" s="966" t="s">
        <v>1353</v>
      </c>
      <c r="M5" s="966" t="s">
        <v>1354</v>
      </c>
      <c r="N5" s="966" t="s">
        <v>257</v>
      </c>
    </row>
    <row r="6" spans="2:14" ht="13.8">
      <c r="B6" s="839"/>
      <c r="C6" s="383"/>
      <c r="D6" s="176"/>
      <c r="E6" s="966"/>
      <c r="F6" s="969"/>
      <c r="G6" s="969"/>
      <c r="H6" s="971"/>
      <c r="I6" s="971"/>
      <c r="J6" s="966"/>
      <c r="K6" s="966"/>
      <c r="L6" s="966"/>
      <c r="M6" s="966"/>
      <c r="N6" s="966"/>
    </row>
    <row r="7" spans="2:14" ht="13.8">
      <c r="B7" s="792" t="s">
        <v>244</v>
      </c>
      <c r="C7" s="792" t="s">
        <v>61</v>
      </c>
      <c r="D7" s="792" t="s">
        <v>543</v>
      </c>
      <c r="E7" s="967"/>
      <c r="F7" s="970"/>
      <c r="G7" s="970"/>
      <c r="H7" s="972"/>
      <c r="I7" s="972"/>
      <c r="J7" s="967"/>
      <c r="K7" s="967"/>
      <c r="L7" s="967"/>
      <c r="M7" s="967"/>
      <c r="N7" s="967"/>
    </row>
    <row r="8" spans="2:14" ht="27.6">
      <c r="B8" s="251">
        <v>1</v>
      </c>
      <c r="C8" s="793">
        <v>182.3</v>
      </c>
      <c r="D8" s="794" t="str">
        <f>+'1.5.1b-EDIT Remeasure '!D20</f>
        <v>Net Operating Loss</v>
      </c>
      <c r="E8" s="175">
        <f>'1.5.1a-TCJA RBAM'!H8</f>
        <v>138138</v>
      </c>
      <c r="F8" s="389"/>
      <c r="G8" s="388"/>
      <c r="H8" s="389">
        <f>+E8</f>
        <v>138138</v>
      </c>
      <c r="I8" s="388"/>
      <c r="J8" s="834"/>
      <c r="K8" s="840" t="s">
        <v>1355</v>
      </c>
      <c r="L8" s="387">
        <v>410.1</v>
      </c>
      <c r="M8" s="387" t="s">
        <v>1356</v>
      </c>
      <c r="N8" s="388"/>
    </row>
    <row r="9" spans="2:14" ht="27.6">
      <c r="B9" s="251">
        <f t="shared" ref="B9:B72" si="0">B8+1</f>
        <v>2</v>
      </c>
      <c r="C9" s="793">
        <v>182.3</v>
      </c>
      <c r="D9" s="794" t="str">
        <f>+'1.5.1b-EDIT Remeasure '!D21</f>
        <v>Non-jurisdictional (SD Gas, NE Gas)</v>
      </c>
      <c r="E9" s="175">
        <f>'1.5.1a-TCJA RBAM'!H9</f>
        <v>-5513</v>
      </c>
      <c r="F9" s="389">
        <f>+E9</f>
        <v>-5513</v>
      </c>
      <c r="G9" s="388"/>
      <c r="H9" s="388"/>
      <c r="I9" s="388"/>
      <c r="J9" s="834"/>
      <c r="K9" s="840" t="s">
        <v>1357</v>
      </c>
      <c r="L9" s="387">
        <v>410.1</v>
      </c>
      <c r="M9" s="387" t="s">
        <v>1358</v>
      </c>
      <c r="N9" s="388"/>
    </row>
    <row r="10" spans="2:14" ht="13.8">
      <c r="B10" s="251">
        <f t="shared" si="0"/>
        <v>3</v>
      </c>
      <c r="C10" s="387"/>
      <c r="D10" s="388"/>
      <c r="E10" s="175">
        <f>'1.5.1a-TCJA RBAM'!H10</f>
        <v>0</v>
      </c>
      <c r="F10" s="388"/>
      <c r="G10" s="388"/>
      <c r="H10" s="388"/>
      <c r="I10" s="388"/>
      <c r="J10" s="834"/>
      <c r="K10" s="840"/>
      <c r="L10" s="387"/>
      <c r="M10" s="387"/>
      <c r="N10" s="388"/>
    </row>
    <row r="11" spans="2:14" ht="13.8">
      <c r="B11" s="251">
        <f t="shared" si="0"/>
        <v>4</v>
      </c>
      <c r="C11" s="387"/>
      <c r="D11" s="388"/>
      <c r="E11" s="175">
        <f>'1.5.1a-TCJA RBAM'!H11</f>
        <v>0</v>
      </c>
      <c r="F11" s="388"/>
      <c r="G11" s="388"/>
      <c r="H11" s="388"/>
      <c r="I11" s="388"/>
      <c r="J11" s="834"/>
      <c r="K11" s="840"/>
      <c r="L11" s="387"/>
      <c r="M11" s="387"/>
      <c r="N11" s="388"/>
    </row>
    <row r="12" spans="2:14" ht="13.8">
      <c r="B12" s="251">
        <f t="shared" si="0"/>
        <v>5</v>
      </c>
      <c r="C12" s="387"/>
      <c r="D12" s="388"/>
      <c r="E12" s="175">
        <f>'1.5.1a-TCJA RBAM'!H12</f>
        <v>0</v>
      </c>
      <c r="F12" s="388"/>
      <c r="G12" s="388"/>
      <c r="H12" s="388"/>
      <c r="I12" s="388"/>
      <c r="J12" s="834"/>
      <c r="K12" s="840"/>
      <c r="L12" s="387"/>
      <c r="M12" s="387"/>
      <c r="N12" s="388"/>
    </row>
    <row r="13" spans="2:14" ht="13.8">
      <c r="B13" s="251">
        <f t="shared" si="0"/>
        <v>6</v>
      </c>
      <c r="C13" s="168"/>
      <c r="D13" s="170"/>
      <c r="E13" s="175"/>
      <c r="F13" s="175"/>
      <c r="G13" s="175"/>
      <c r="H13" s="175"/>
      <c r="I13" s="175"/>
      <c r="J13" s="175"/>
      <c r="K13" s="175"/>
      <c r="L13" s="175"/>
      <c r="M13" s="175"/>
      <c r="N13" s="170"/>
    </row>
    <row r="14" spans="2:14" ht="13.8">
      <c r="B14" s="251">
        <f t="shared" si="0"/>
        <v>7</v>
      </c>
      <c r="C14" s="168"/>
      <c r="D14" s="176" t="s">
        <v>40</v>
      </c>
      <c r="E14" s="175">
        <f>SUM(E8:E12)</f>
        <v>132625</v>
      </c>
      <c r="F14" s="175">
        <f>SUM(F8:F12)</f>
        <v>-5513</v>
      </c>
      <c r="G14" s="175">
        <f>SUM(G8:G12)</f>
        <v>0</v>
      </c>
      <c r="H14" s="175">
        <f>SUM(H8:H12)</f>
        <v>138138</v>
      </c>
      <c r="I14" s="175">
        <f>SUM(I8:I12)</f>
        <v>0</v>
      </c>
      <c r="J14" s="175"/>
      <c r="K14" s="175"/>
      <c r="L14" s="175"/>
      <c r="M14" s="175"/>
      <c r="N14" s="170"/>
    </row>
    <row r="15" spans="2:14" ht="13.8">
      <c r="B15" s="251">
        <f t="shared" si="0"/>
        <v>8</v>
      </c>
      <c r="C15" s="383"/>
      <c r="D15" s="176" t="s">
        <v>41</v>
      </c>
      <c r="E15" s="175"/>
      <c r="F15" s="442">
        <f>0</f>
        <v>0</v>
      </c>
      <c r="G15" s="442">
        <f>1</f>
        <v>1</v>
      </c>
      <c r="H15" s="442">
        <f>AppendixA!$H$27</f>
        <v>7.4491583404762904E-2</v>
      </c>
      <c r="I15" s="442">
        <f>AppendixA!$H$16</f>
        <v>4.4161101816983732E-2</v>
      </c>
      <c r="J15" s="177"/>
      <c r="K15" s="170"/>
      <c r="L15" s="170"/>
      <c r="M15" s="170"/>
      <c r="N15" s="170"/>
    </row>
    <row r="16" spans="2:14" ht="13.8">
      <c r="B16" s="251">
        <f t="shared" si="0"/>
        <v>9</v>
      </c>
      <c r="C16" s="168"/>
      <c r="D16" s="176" t="s">
        <v>1359</v>
      </c>
      <c r="E16" s="175"/>
      <c r="F16" s="175">
        <f>F14*F15</f>
        <v>0</v>
      </c>
      <c r="G16" s="175">
        <f>G14*G15</f>
        <v>0</v>
      </c>
      <c r="H16" s="175">
        <f>H14*H15</f>
        <v>10290.118348367138</v>
      </c>
      <c r="I16" s="175">
        <f>I14*I15</f>
        <v>0</v>
      </c>
      <c r="J16" s="510">
        <f>-SUM(F16:I16)</f>
        <v>-10290.118348367138</v>
      </c>
      <c r="K16" s="175"/>
      <c r="L16" s="175"/>
      <c r="M16" s="175"/>
      <c r="N16" s="170" t="s">
        <v>1360</v>
      </c>
    </row>
    <row r="17" spans="2:14" ht="13.8">
      <c r="B17" s="251">
        <f t="shared" si="0"/>
        <v>10</v>
      </c>
      <c r="C17" s="168"/>
      <c r="D17" s="176"/>
      <c r="E17" s="175"/>
      <c r="F17" s="175"/>
      <c r="G17" s="175"/>
      <c r="H17" s="175"/>
      <c r="I17" s="175"/>
      <c r="J17" s="175"/>
      <c r="K17" s="175"/>
      <c r="L17" s="175"/>
      <c r="M17" s="175"/>
      <c r="N17" s="170"/>
    </row>
    <row r="18" spans="2:14" ht="13.8">
      <c r="B18" s="251">
        <f t="shared" si="0"/>
        <v>11</v>
      </c>
      <c r="C18" s="168"/>
      <c r="D18" s="176"/>
      <c r="E18" s="175"/>
      <c r="F18" s="175"/>
      <c r="G18" s="175"/>
      <c r="H18" s="175"/>
      <c r="I18" s="175"/>
      <c r="J18" s="175"/>
      <c r="K18" s="175"/>
      <c r="L18" s="175"/>
      <c r="M18" s="175"/>
      <c r="N18" s="170"/>
    </row>
    <row r="19" spans="2:14" ht="13.8">
      <c r="B19" s="251">
        <f t="shared" si="0"/>
        <v>12</v>
      </c>
      <c r="C19" s="793">
        <v>182.3</v>
      </c>
      <c r="D19" s="794" t="str">
        <f>+'1.5.1b-EDIT Remeasure '!D31</f>
        <v>Regulatory Assets / Liabilities</v>
      </c>
      <c r="E19" s="175">
        <f>'1.5.1a-TCJA RBAM'!H19</f>
        <v>0</v>
      </c>
      <c r="F19" s="389"/>
      <c r="G19" s="389"/>
      <c r="H19" s="389"/>
      <c r="I19" s="389"/>
      <c r="J19" s="175"/>
      <c r="K19" s="798"/>
      <c r="L19" s="798"/>
      <c r="M19" s="798"/>
      <c r="N19" s="807"/>
    </row>
    <row r="20" spans="2:14" ht="13.8">
      <c r="B20" s="251">
        <f t="shared" si="0"/>
        <v>13</v>
      </c>
      <c r="C20" s="793">
        <v>182.3</v>
      </c>
      <c r="D20" s="794" t="str">
        <f>+'1.5.1b-EDIT Remeasure '!D32</f>
        <v>Unbilled Revenue</v>
      </c>
      <c r="E20" s="175">
        <f>'1.5.1a-TCJA RBAM'!H20</f>
        <v>0</v>
      </c>
      <c r="F20" s="389"/>
      <c r="G20" s="389"/>
      <c r="H20" s="389">
        <f>E20</f>
        <v>0</v>
      </c>
      <c r="I20" s="389"/>
      <c r="J20" s="834"/>
      <c r="K20" s="840"/>
      <c r="L20" s="387"/>
      <c r="M20" s="387"/>
      <c r="N20" s="388"/>
    </row>
    <row r="21" spans="2:14" ht="13.8">
      <c r="B21" s="251">
        <f t="shared" si="0"/>
        <v>14</v>
      </c>
      <c r="C21" s="793">
        <v>182.3</v>
      </c>
      <c r="D21" s="794" t="str">
        <f>+'1.5.1b-EDIT Remeasure '!D33</f>
        <v>Compensation Accruals</v>
      </c>
      <c r="E21" s="175">
        <f>'1.5.1a-TCJA RBAM'!H21</f>
        <v>0</v>
      </c>
      <c r="F21" s="389"/>
      <c r="G21" s="389"/>
      <c r="H21" s="389"/>
      <c r="I21" s="389">
        <f>E21</f>
        <v>0</v>
      </c>
      <c r="J21" s="834"/>
      <c r="K21" s="840"/>
      <c r="L21" s="387"/>
      <c r="M21" s="387"/>
      <c r="N21" s="388"/>
    </row>
    <row r="22" spans="2:14" ht="13.8">
      <c r="B22" s="251">
        <f t="shared" si="0"/>
        <v>15</v>
      </c>
      <c r="C22" s="793">
        <v>182.3</v>
      </c>
      <c r="D22" s="794" t="str">
        <f>+'1.5.1b-EDIT Remeasure '!D34</f>
        <v>Reserves &amp; Accruals</v>
      </c>
      <c r="E22" s="175">
        <f>'1.5.1a-TCJA RBAM'!H22</f>
        <v>0</v>
      </c>
      <c r="F22" s="389"/>
      <c r="G22" s="389"/>
      <c r="H22" s="389">
        <f>E22</f>
        <v>0</v>
      </c>
      <c r="I22" s="389"/>
      <c r="J22" s="834"/>
      <c r="K22" s="840"/>
      <c r="L22" s="387"/>
      <c r="M22" s="387"/>
      <c r="N22" s="388"/>
    </row>
    <row r="23" spans="2:14" ht="13.8">
      <c r="B23" s="251">
        <f t="shared" si="0"/>
        <v>16</v>
      </c>
      <c r="C23" s="793">
        <v>182.3</v>
      </c>
      <c r="D23" s="794" t="str">
        <f>+'1.5.1b-EDIT Remeasure '!D35</f>
        <v>Pension / Postretirement Benefits</v>
      </c>
      <c r="E23" s="175">
        <f>'1.5.1a-TCJA RBAM'!H23</f>
        <v>0</v>
      </c>
      <c r="F23" s="389"/>
      <c r="G23" s="389"/>
      <c r="H23" s="389"/>
      <c r="I23" s="389">
        <f>E23</f>
        <v>0</v>
      </c>
      <c r="J23" s="834"/>
      <c r="K23" s="840"/>
      <c r="L23" s="387"/>
      <c r="M23" s="387"/>
      <c r="N23" s="388"/>
    </row>
    <row r="24" spans="2:14" ht="13.8">
      <c r="B24" s="251">
        <f t="shared" si="0"/>
        <v>17</v>
      </c>
      <c r="C24" s="793">
        <v>182.3</v>
      </c>
      <c r="D24" s="794" t="str">
        <f>+'1.5.1b-EDIT Remeasure '!D36</f>
        <v>Environmental Liability</v>
      </c>
      <c r="E24" s="175">
        <f>'1.5.1a-TCJA RBAM'!H24</f>
        <v>0</v>
      </c>
      <c r="F24" s="389">
        <f>E24</f>
        <v>0</v>
      </c>
      <c r="G24" s="389"/>
      <c r="H24" s="389"/>
      <c r="I24" s="389"/>
      <c r="J24" s="834"/>
      <c r="K24" s="840"/>
      <c r="L24" s="387"/>
      <c r="M24" s="387"/>
      <c r="N24" s="388"/>
    </row>
    <row r="25" spans="2:14" ht="13.8">
      <c r="B25" s="251">
        <f t="shared" si="0"/>
        <v>18</v>
      </c>
      <c r="C25" s="793">
        <v>182.3</v>
      </c>
      <c r="D25" s="794" t="str">
        <f>+'1.5.1b-EDIT Remeasure '!D37</f>
        <v>Interest Rate Hedge</v>
      </c>
      <c r="E25" s="175">
        <f>'1.5.1a-TCJA RBAM'!H25</f>
        <v>0</v>
      </c>
      <c r="F25" s="389"/>
      <c r="G25" s="389"/>
      <c r="H25" s="389"/>
      <c r="I25" s="389"/>
      <c r="J25" s="834"/>
      <c r="K25" s="840"/>
      <c r="L25" s="387"/>
      <c r="M25" s="387"/>
      <c r="N25" s="388"/>
    </row>
    <row r="26" spans="2:14" ht="13.8">
      <c r="B26" s="251">
        <f t="shared" si="0"/>
        <v>19</v>
      </c>
      <c r="C26" s="793">
        <v>182.3</v>
      </c>
      <c r="D26" s="794" t="str">
        <f>+'1.5.1b-EDIT Remeasure '!D38</f>
        <v>Customer Advances</v>
      </c>
      <c r="E26" s="175">
        <f>'1.5.1a-TCJA RBAM'!H26</f>
        <v>0</v>
      </c>
      <c r="F26" s="389"/>
      <c r="G26" s="389"/>
      <c r="H26" s="389"/>
      <c r="I26" s="389"/>
      <c r="J26" s="834"/>
      <c r="K26" s="840"/>
      <c r="L26" s="387"/>
      <c r="M26" s="387"/>
      <c r="N26" s="388"/>
    </row>
    <row r="27" spans="2:14" ht="13.8">
      <c r="B27" s="251">
        <f>B26+1</f>
        <v>20</v>
      </c>
      <c r="C27" s="793">
        <v>182.3</v>
      </c>
      <c r="D27" s="794" t="str">
        <f>+'1.5.1b-EDIT Remeasure '!D39</f>
        <v>Net Operating Loss</v>
      </c>
      <c r="E27" s="175">
        <f>'1.5.1a-TCJA RBAM'!H27</f>
        <v>0</v>
      </c>
      <c r="F27" s="389"/>
      <c r="G27" s="389"/>
      <c r="H27" s="389">
        <f>E27</f>
        <v>0</v>
      </c>
      <c r="I27" s="389"/>
      <c r="J27" s="834"/>
      <c r="K27" s="840"/>
      <c r="L27" s="387"/>
      <c r="M27" s="387"/>
      <c r="N27" s="805"/>
    </row>
    <row r="28" spans="2:14" ht="27.6">
      <c r="B28" s="251">
        <f t="shared" si="0"/>
        <v>21</v>
      </c>
      <c r="C28" s="793">
        <v>182.3</v>
      </c>
      <c r="D28" s="794" t="str">
        <f>+'1.5.1b-EDIT Remeasure '!D40</f>
        <v>Non-jurisdictional (SD Gas, NE Gas)</v>
      </c>
      <c r="E28" s="175">
        <f>'1.5.1a-TCJA RBAM'!H28</f>
        <v>338365</v>
      </c>
      <c r="F28" s="389">
        <f>E28</f>
        <v>338365</v>
      </c>
      <c r="G28" s="389"/>
      <c r="H28" s="389"/>
      <c r="I28" s="389"/>
      <c r="J28" s="834"/>
      <c r="K28" s="840" t="s">
        <v>1357</v>
      </c>
      <c r="L28" s="387">
        <v>410.1</v>
      </c>
      <c r="M28" s="387" t="s">
        <v>1358</v>
      </c>
      <c r="N28" s="388"/>
    </row>
    <row r="29" spans="2:14" ht="13.8">
      <c r="B29" s="251">
        <f t="shared" si="0"/>
        <v>22</v>
      </c>
      <c r="C29" s="387"/>
      <c r="D29" s="808"/>
      <c r="E29" s="175">
        <f>'1.5.1a-TCJA RBAM'!H29</f>
        <v>0</v>
      </c>
      <c r="F29" s="389"/>
      <c r="G29" s="389"/>
      <c r="H29" s="389"/>
      <c r="I29" s="389"/>
      <c r="K29" s="808"/>
      <c r="L29" s="808"/>
      <c r="M29" s="808"/>
      <c r="N29" s="808"/>
    </row>
    <row r="30" spans="2:14" ht="13.8">
      <c r="B30" s="251">
        <f t="shared" si="0"/>
        <v>23</v>
      </c>
      <c r="C30" s="387"/>
      <c r="D30" s="388"/>
      <c r="E30" s="175">
        <f>'1.5.1a-TCJA RBAM'!H30</f>
        <v>0</v>
      </c>
      <c r="F30" s="389"/>
      <c r="G30" s="389"/>
      <c r="H30" s="389"/>
      <c r="I30" s="389"/>
      <c r="J30" s="834"/>
      <c r="K30" s="840"/>
      <c r="L30" s="387"/>
      <c r="M30" s="387"/>
      <c r="N30" s="388"/>
    </row>
    <row r="31" spans="2:14" ht="13.8">
      <c r="B31" s="251">
        <f t="shared" si="0"/>
        <v>24</v>
      </c>
      <c r="C31" s="387"/>
      <c r="D31" s="388"/>
      <c r="E31" s="175">
        <f>'1.5.1a-TCJA RBAM'!H31</f>
        <v>0</v>
      </c>
      <c r="F31" s="389"/>
      <c r="G31" s="389"/>
      <c r="H31" s="389"/>
      <c r="I31" s="389"/>
      <c r="J31" s="834"/>
      <c r="K31" s="840"/>
      <c r="L31" s="387"/>
      <c r="M31" s="387"/>
      <c r="N31" s="388"/>
    </row>
    <row r="32" spans="2:14" ht="13.8">
      <c r="B32" s="251">
        <f t="shared" si="0"/>
        <v>25</v>
      </c>
      <c r="C32" s="168"/>
      <c r="D32" s="170"/>
      <c r="E32" s="175"/>
      <c r="F32" s="175"/>
      <c r="G32" s="175"/>
      <c r="H32" s="175"/>
      <c r="I32" s="175"/>
      <c r="J32" s="175"/>
      <c r="K32" s="175"/>
      <c r="L32" s="175"/>
      <c r="M32" s="175"/>
      <c r="N32" s="170"/>
    </row>
    <row r="33" spans="2:14" ht="13.8">
      <c r="B33" s="251">
        <f t="shared" si="0"/>
        <v>26</v>
      </c>
      <c r="C33" s="168"/>
      <c r="D33" s="176" t="s">
        <v>40</v>
      </c>
      <c r="E33" s="175">
        <f>SUM(E19:E31)</f>
        <v>338365</v>
      </c>
      <c r="F33" s="175">
        <f>SUM(F19:F31)</f>
        <v>338365</v>
      </c>
      <c r="G33" s="175">
        <f>SUM(G19:G31)</f>
        <v>0</v>
      </c>
      <c r="H33" s="175">
        <f>SUM(H19:H31)</f>
        <v>0</v>
      </c>
      <c r="I33" s="175">
        <f>SUM(I19:I31)</f>
        <v>0</v>
      </c>
      <c r="J33" s="175"/>
      <c r="K33" s="175"/>
      <c r="L33" s="175"/>
      <c r="M33" s="175"/>
      <c r="N33" s="170"/>
    </row>
    <row r="34" spans="2:14" ht="14.4" thickBot="1">
      <c r="B34" s="251">
        <f t="shared" si="0"/>
        <v>27</v>
      </c>
      <c r="C34" s="168"/>
      <c r="D34" s="176" t="s">
        <v>1361</v>
      </c>
      <c r="E34" s="175">
        <f>E14+E33</f>
        <v>470990</v>
      </c>
      <c r="F34" s="175"/>
      <c r="G34" s="175"/>
      <c r="H34" s="175"/>
      <c r="I34" s="175"/>
      <c r="J34" s="175"/>
      <c r="K34" s="175"/>
      <c r="L34" s="175"/>
      <c r="M34" s="175"/>
      <c r="N34" s="170"/>
    </row>
    <row r="35" spans="2:14" ht="28.2" thickBot="1">
      <c r="B35" s="251">
        <f t="shared" si="0"/>
        <v>28</v>
      </c>
      <c r="C35" s="168"/>
      <c r="D35" s="731" t="s">
        <v>1595</v>
      </c>
      <c r="E35" s="511">
        <f>+Inputs!D253</f>
        <v>470990</v>
      </c>
      <c r="F35" s="232"/>
      <c r="G35" s="232"/>
      <c r="H35" s="232"/>
      <c r="I35" s="232"/>
      <c r="J35" s="232"/>
      <c r="K35" s="175"/>
      <c r="L35" s="175"/>
      <c r="M35" s="175"/>
      <c r="N35" s="170"/>
    </row>
    <row r="36" spans="2:14" ht="13.8">
      <c r="B36" s="251">
        <f t="shared" si="0"/>
        <v>29</v>
      </c>
      <c r="C36" s="383"/>
      <c r="D36" s="176" t="s">
        <v>41</v>
      </c>
      <c r="E36" s="175"/>
      <c r="F36" s="442">
        <f>0</f>
        <v>0</v>
      </c>
      <c r="G36" s="442">
        <f>1</f>
        <v>1</v>
      </c>
      <c r="H36" s="442">
        <f>AppendixA!$H$27</f>
        <v>7.4491583404762904E-2</v>
      </c>
      <c r="I36" s="442">
        <f>AppendixA!$H$16</f>
        <v>4.4161101816983732E-2</v>
      </c>
      <c r="J36" s="177"/>
      <c r="K36" s="170"/>
      <c r="L36" s="170"/>
      <c r="M36" s="170"/>
      <c r="N36" s="170"/>
    </row>
    <row r="37" spans="2:14" ht="13.8">
      <c r="B37" s="251">
        <f t="shared" si="0"/>
        <v>30</v>
      </c>
      <c r="C37" s="168"/>
      <c r="D37" s="176" t="s">
        <v>1362</v>
      </c>
      <c r="E37" s="175"/>
      <c r="F37" s="175">
        <f>F33*F36</f>
        <v>0</v>
      </c>
      <c r="G37" s="175">
        <f>G33*G36</f>
        <v>0</v>
      </c>
      <c r="H37" s="175">
        <f>H33*H36</f>
        <v>0</v>
      </c>
      <c r="I37" s="175">
        <f>I33*I36</f>
        <v>0</v>
      </c>
      <c r="J37" s="510">
        <f>-SUM(F37:I37)</f>
        <v>0</v>
      </c>
      <c r="K37" s="175"/>
      <c r="L37" s="175"/>
      <c r="M37" s="175"/>
      <c r="N37" s="170" t="s">
        <v>1360</v>
      </c>
    </row>
    <row r="38" spans="2:14" ht="14.4" thickBot="1">
      <c r="B38" s="251">
        <f t="shared" si="0"/>
        <v>31</v>
      </c>
      <c r="C38" s="168"/>
      <c r="D38" s="176"/>
      <c r="E38" s="175"/>
      <c r="F38" s="175"/>
      <c r="G38" s="175"/>
      <c r="H38" s="175"/>
      <c r="I38" s="175"/>
      <c r="J38" s="175"/>
      <c r="K38" s="175"/>
      <c r="L38" s="175"/>
      <c r="M38" s="175"/>
      <c r="N38" s="170"/>
    </row>
    <row r="39" spans="2:14" ht="14.4" thickBot="1">
      <c r="B39" s="251">
        <f t="shared" si="0"/>
        <v>32</v>
      </c>
      <c r="C39" s="168"/>
      <c r="D39" s="176" t="s">
        <v>1482</v>
      </c>
      <c r="E39" s="175"/>
      <c r="F39" s="175"/>
      <c r="G39" s="175"/>
      <c r="H39" s="175"/>
      <c r="I39" s="175"/>
      <c r="J39" s="511">
        <f>J16+J37</f>
        <v>-10290.118348367138</v>
      </c>
      <c r="K39" s="175"/>
      <c r="L39" s="175"/>
      <c r="M39" s="175"/>
      <c r="N39" s="170" t="s">
        <v>1360</v>
      </c>
    </row>
    <row r="40" spans="2:14" ht="13.8">
      <c r="B40" s="251">
        <f t="shared" si="0"/>
        <v>33</v>
      </c>
      <c r="C40" s="168"/>
      <c r="D40" s="176"/>
      <c r="E40" s="175"/>
      <c r="F40" s="175"/>
      <c r="G40" s="175"/>
      <c r="H40" s="175"/>
      <c r="I40" s="175"/>
      <c r="J40" s="175"/>
      <c r="K40" s="175"/>
      <c r="L40" s="175"/>
      <c r="M40" s="175"/>
      <c r="N40" s="170"/>
    </row>
    <row r="41" spans="2:14" ht="13.8">
      <c r="B41" s="251">
        <f t="shared" si="0"/>
        <v>34</v>
      </c>
      <c r="C41" s="168"/>
      <c r="D41" s="176"/>
      <c r="E41" s="175"/>
      <c r="F41" s="170"/>
      <c r="G41" s="170"/>
      <c r="H41" s="170"/>
      <c r="I41" s="170"/>
      <c r="J41" s="170"/>
      <c r="K41" s="170"/>
      <c r="L41" s="170"/>
      <c r="M41" s="170"/>
      <c r="N41" s="170"/>
    </row>
    <row r="42" spans="2:14" ht="28.2" customHeight="1">
      <c r="B42" s="251">
        <f t="shared" si="0"/>
        <v>35</v>
      </c>
      <c r="C42" s="793">
        <v>254</v>
      </c>
      <c r="D42" s="794" t="str">
        <f>+'1.5.1b-EDIT Remeasure '!D54</f>
        <v>Accel Depr &amp; Amort. - Protected</v>
      </c>
      <c r="E42" s="175">
        <f>'1.5.1a-TCJA RBAM'!H42</f>
        <v>-590098</v>
      </c>
      <c r="F42" s="389"/>
      <c r="G42" s="389"/>
      <c r="H42" s="389">
        <f>E42</f>
        <v>-590098</v>
      </c>
      <c r="I42" s="389"/>
      <c r="J42" s="834"/>
      <c r="K42" s="841" t="s">
        <v>1355</v>
      </c>
      <c r="L42" s="387">
        <v>411.1</v>
      </c>
      <c r="M42" s="387" t="s">
        <v>1363</v>
      </c>
      <c r="N42" s="388"/>
    </row>
    <row r="43" spans="2:14" ht="27.6">
      <c r="B43" s="251">
        <f t="shared" si="0"/>
        <v>36</v>
      </c>
      <c r="C43" s="793">
        <v>254</v>
      </c>
      <c r="D43" s="794" t="str">
        <f>+'1.5.1b-EDIT Remeasure '!D55</f>
        <v>Non-jurisdictional (SD Gas, NE Gas) - Protected</v>
      </c>
      <c r="E43" s="175">
        <f>'1.5.1a-TCJA RBAM'!H43</f>
        <v>-81017</v>
      </c>
      <c r="F43" s="389">
        <f>E43</f>
        <v>-81017</v>
      </c>
      <c r="G43" s="389"/>
      <c r="H43" s="389"/>
      <c r="I43" s="389"/>
      <c r="J43" s="834"/>
      <c r="K43" s="840" t="s">
        <v>1357</v>
      </c>
      <c r="L43" s="387">
        <v>411.1</v>
      </c>
      <c r="M43" s="387" t="s">
        <v>1358</v>
      </c>
      <c r="N43" s="388"/>
    </row>
    <row r="44" spans="2:14" ht="13.8">
      <c r="B44" s="251">
        <f t="shared" si="0"/>
        <v>37</v>
      </c>
      <c r="C44" s="387"/>
      <c r="D44" s="388"/>
      <c r="E44" s="175">
        <f>'1.5.1a-TCJA RBAM'!H44</f>
        <v>0</v>
      </c>
      <c r="F44" s="389"/>
      <c r="G44" s="389"/>
      <c r="H44" s="389"/>
      <c r="I44" s="389"/>
      <c r="J44" s="834"/>
      <c r="K44" s="841"/>
      <c r="L44" s="387"/>
      <c r="M44" s="387"/>
      <c r="N44" s="388"/>
    </row>
    <row r="45" spans="2:14" ht="13.8">
      <c r="B45" s="251">
        <f t="shared" si="0"/>
        <v>38</v>
      </c>
      <c r="C45" s="387"/>
      <c r="D45" s="388"/>
      <c r="E45" s="175">
        <f>'1.5.1a-TCJA RBAM'!H45</f>
        <v>0</v>
      </c>
      <c r="F45" s="389"/>
      <c r="G45" s="389"/>
      <c r="H45" s="389"/>
      <c r="I45" s="389"/>
      <c r="J45" s="834"/>
      <c r="K45" s="841"/>
      <c r="L45" s="387"/>
      <c r="M45" s="387"/>
      <c r="N45" s="388"/>
    </row>
    <row r="46" spans="2:14" ht="13.8">
      <c r="B46" s="251">
        <f t="shared" si="0"/>
        <v>39</v>
      </c>
      <c r="C46" s="387"/>
      <c r="D46" s="388"/>
      <c r="E46" s="175">
        <f>'1.5.1a-TCJA RBAM'!H46</f>
        <v>0</v>
      </c>
      <c r="F46" s="389"/>
      <c r="G46" s="389"/>
      <c r="H46" s="389"/>
      <c r="I46" s="389"/>
      <c r="J46" s="834"/>
      <c r="K46" s="841"/>
      <c r="L46" s="387"/>
      <c r="M46" s="387"/>
      <c r="N46" s="388"/>
    </row>
    <row r="47" spans="2:14" ht="13.8">
      <c r="B47" s="251">
        <f t="shared" si="0"/>
        <v>40</v>
      </c>
      <c r="C47" s="382"/>
      <c r="D47" s="170"/>
      <c r="E47" s="175"/>
      <c r="F47" s="175"/>
      <c r="G47" s="175"/>
      <c r="H47" s="175"/>
      <c r="I47" s="175"/>
      <c r="J47" s="175"/>
      <c r="K47" s="175"/>
      <c r="L47" s="175"/>
      <c r="M47" s="175"/>
      <c r="N47" s="179"/>
    </row>
    <row r="48" spans="2:14" ht="13.8">
      <c r="B48" s="251">
        <f t="shared" si="0"/>
        <v>41</v>
      </c>
      <c r="C48" s="382"/>
      <c r="D48" s="180" t="s">
        <v>492</v>
      </c>
      <c r="E48" s="175">
        <f>SUM(E42:E46)</f>
        <v>-671115</v>
      </c>
      <c r="F48" s="175">
        <f>SUM(F42:F46)</f>
        <v>-81017</v>
      </c>
      <c r="G48" s="175">
        <f>SUM(G42:G46)</f>
        <v>0</v>
      </c>
      <c r="H48" s="175">
        <f>SUM(H42:H46)</f>
        <v>-590098</v>
      </c>
      <c r="I48" s="175">
        <f>SUM(I42:I46)</f>
        <v>0</v>
      </c>
      <c r="J48" s="175"/>
      <c r="K48" s="175"/>
      <c r="L48" s="175"/>
      <c r="M48" s="175"/>
      <c r="N48" s="179"/>
    </row>
    <row r="49" spans="2:14" ht="13.8">
      <c r="B49" s="251">
        <f t="shared" si="0"/>
        <v>42</v>
      </c>
      <c r="C49" s="382"/>
      <c r="D49" s="176" t="s">
        <v>41</v>
      </c>
      <c r="E49" s="175"/>
      <c r="F49" s="442">
        <f>F36</f>
        <v>0</v>
      </c>
      <c r="G49" s="442">
        <f>G36</f>
        <v>1</v>
      </c>
      <c r="H49" s="442">
        <f>AppendixA!$H$27</f>
        <v>7.4491583404762904E-2</v>
      </c>
      <c r="I49" s="442">
        <f>AppendixA!$H$16</f>
        <v>4.4161101816983732E-2</v>
      </c>
      <c r="J49" s="177"/>
      <c r="K49" s="170"/>
      <c r="L49" s="170"/>
      <c r="M49" s="170"/>
      <c r="N49" s="179"/>
    </row>
    <row r="50" spans="2:14" ht="13.8">
      <c r="B50" s="251">
        <f t="shared" si="0"/>
        <v>43</v>
      </c>
      <c r="C50" s="384"/>
      <c r="D50" s="176" t="s">
        <v>1364</v>
      </c>
      <c r="E50" s="175"/>
      <c r="F50" s="175">
        <f>F48*F49</f>
        <v>0</v>
      </c>
      <c r="G50" s="175">
        <f>G48*G49</f>
        <v>0</v>
      </c>
      <c r="H50" s="175">
        <f>H48*H49</f>
        <v>-43957.334383983783</v>
      </c>
      <c r="I50" s="175">
        <f>I48*I49</f>
        <v>0</v>
      </c>
      <c r="J50" s="510">
        <f>-SUM(F50:I50)</f>
        <v>43957.334383983783</v>
      </c>
      <c r="K50" s="175"/>
      <c r="L50" s="175"/>
      <c r="M50" s="175"/>
      <c r="N50" s="170" t="s">
        <v>1360</v>
      </c>
    </row>
    <row r="51" spans="2:14" ht="13.8">
      <c r="B51" s="251">
        <f t="shared" si="0"/>
        <v>44</v>
      </c>
      <c r="C51" s="384"/>
      <c r="D51" s="176"/>
      <c r="E51" s="175"/>
      <c r="F51" s="175"/>
      <c r="G51" s="175"/>
      <c r="H51" s="175"/>
      <c r="I51" s="175"/>
      <c r="J51" s="175"/>
      <c r="K51" s="175"/>
      <c r="L51" s="175"/>
      <c r="M51" s="175"/>
      <c r="N51" s="170"/>
    </row>
    <row r="52" spans="2:14" ht="13.8">
      <c r="B52" s="251">
        <f t="shared" si="0"/>
        <v>45</v>
      </c>
      <c r="C52" s="384"/>
      <c r="D52" s="176"/>
      <c r="E52" s="175"/>
      <c r="F52" s="175"/>
      <c r="G52" s="175"/>
      <c r="H52" s="175"/>
      <c r="I52" s="175"/>
      <c r="J52" s="175"/>
      <c r="K52" s="175"/>
      <c r="L52" s="175"/>
      <c r="M52" s="175"/>
      <c r="N52" s="170"/>
    </row>
    <row r="53" spans="2:14" ht="13.8">
      <c r="B53" s="251">
        <f t="shared" si="0"/>
        <v>46</v>
      </c>
      <c r="C53" s="384"/>
      <c r="D53" s="176"/>
      <c r="E53" s="175"/>
      <c r="F53" s="175"/>
      <c r="G53" s="175"/>
      <c r="H53" s="175"/>
      <c r="I53" s="175"/>
      <c r="J53" s="175"/>
      <c r="K53" s="175"/>
      <c r="L53" s="175"/>
      <c r="M53" s="175"/>
      <c r="N53" s="170"/>
    </row>
    <row r="54" spans="2:14" ht="27.6">
      <c r="B54" s="251">
        <f t="shared" si="0"/>
        <v>47</v>
      </c>
      <c r="C54" s="793">
        <v>254</v>
      </c>
      <c r="D54" s="794" t="str">
        <f>+'1.5.1b-EDIT Remeasure '!D66</f>
        <v>Accel Depr &amp; Amort. - Unprotected (282)</v>
      </c>
      <c r="E54" s="175">
        <f>'1.5.1a-TCJA RBAM'!H54</f>
        <v>-464843</v>
      </c>
      <c r="F54" s="389"/>
      <c r="G54" s="389"/>
      <c r="H54" s="389">
        <f>E54</f>
        <v>-464843</v>
      </c>
      <c r="I54" s="389"/>
      <c r="J54" s="834"/>
      <c r="K54" s="841" t="s">
        <v>1365</v>
      </c>
      <c r="L54" s="387">
        <v>411.1</v>
      </c>
      <c r="M54" s="387" t="s">
        <v>1356</v>
      </c>
      <c r="N54" s="388"/>
    </row>
    <row r="55" spans="2:14" ht="27.6">
      <c r="B55" s="251">
        <f t="shared" si="0"/>
        <v>48</v>
      </c>
      <c r="C55" s="793">
        <v>254</v>
      </c>
      <c r="D55" s="794" t="str">
        <f>+'1.5.1b-EDIT Remeasure '!D67</f>
        <v>Non-jurisdictional (SD Gas, NE Gas) - Unprotected (282)</v>
      </c>
      <c r="E55" s="175">
        <f>'1.5.1a-TCJA RBAM'!H55</f>
        <v>-121302</v>
      </c>
      <c r="F55" s="389">
        <f>+E55</f>
        <v>-121302</v>
      </c>
      <c r="G55" s="389"/>
      <c r="H55" s="389"/>
      <c r="I55" s="389"/>
      <c r="J55" s="834"/>
      <c r="K55" s="840" t="s">
        <v>1357</v>
      </c>
      <c r="L55" s="387">
        <v>411.1</v>
      </c>
      <c r="M55" s="387" t="s">
        <v>1358</v>
      </c>
      <c r="N55" s="388"/>
    </row>
    <row r="56" spans="2:14" ht="13.8">
      <c r="B56" s="251">
        <f t="shared" si="0"/>
        <v>49</v>
      </c>
      <c r="C56" s="793">
        <v>254</v>
      </c>
      <c r="D56" s="794" t="str">
        <f>+'1.5.1b-EDIT Remeasure '!D68</f>
        <v>Regulatory Assets - Unprotected (283)</v>
      </c>
      <c r="E56" s="175">
        <f>'1.5.1a-TCJA RBAM'!H56</f>
        <v>0</v>
      </c>
      <c r="F56" s="389">
        <f>E56</f>
        <v>0</v>
      </c>
      <c r="G56" s="389"/>
      <c r="H56" s="389"/>
      <c r="I56" s="389"/>
      <c r="J56" s="834"/>
      <c r="K56" s="840"/>
      <c r="L56" s="387"/>
      <c r="M56" s="387"/>
      <c r="N56" s="388"/>
    </row>
    <row r="57" spans="2:14" ht="27.6">
      <c r="B57" s="251">
        <f t="shared" si="0"/>
        <v>50</v>
      </c>
      <c r="C57" s="793">
        <v>254</v>
      </c>
      <c r="D57" s="794" t="str">
        <f>+'1.5.1b-EDIT Remeasure '!D69</f>
        <v>Non-jurisdictional (SD Gas, NE Gas) - Unprotected (283)</v>
      </c>
      <c r="E57" s="175">
        <f>'1.5.1a-TCJA RBAM'!H57</f>
        <v>-15815</v>
      </c>
      <c r="F57" s="389">
        <f>E57</f>
        <v>-15815</v>
      </c>
      <c r="G57" s="389"/>
      <c r="H57" s="389"/>
      <c r="I57" s="389"/>
      <c r="J57" s="834"/>
      <c r="K57" s="840" t="s">
        <v>1357</v>
      </c>
      <c r="L57" s="387">
        <v>411.1</v>
      </c>
      <c r="M57" s="387" t="s">
        <v>1358</v>
      </c>
      <c r="N57" s="388"/>
    </row>
    <row r="58" spans="2:14" ht="13.8">
      <c r="B58" s="251">
        <f t="shared" si="0"/>
        <v>51</v>
      </c>
      <c r="C58" s="387"/>
      <c r="D58" s="388"/>
      <c r="E58" s="175">
        <f>'1.5.1a-TCJA RBAM'!H58</f>
        <v>0</v>
      </c>
      <c r="F58" s="389">
        <f>E58</f>
        <v>0</v>
      </c>
      <c r="G58" s="389"/>
      <c r="H58" s="389"/>
      <c r="I58" s="389"/>
      <c r="J58" s="834"/>
      <c r="K58" s="840"/>
      <c r="L58" s="387"/>
      <c r="M58" s="387"/>
      <c r="N58" s="388"/>
    </row>
    <row r="59" spans="2:14" ht="13.8">
      <c r="B59" s="251">
        <f t="shared" si="0"/>
        <v>52</v>
      </c>
      <c r="C59" s="387"/>
      <c r="D59" s="388"/>
      <c r="E59" s="175">
        <f>'1.5.1a-TCJA RBAM'!H59</f>
        <v>0</v>
      </c>
      <c r="F59" s="389"/>
      <c r="G59" s="389"/>
      <c r="H59" s="389"/>
      <c r="I59" s="389"/>
      <c r="J59" s="834"/>
      <c r="K59" s="840"/>
      <c r="L59" s="387"/>
      <c r="M59" s="387"/>
      <c r="N59" s="388"/>
    </row>
    <row r="60" spans="2:14" ht="13.8">
      <c r="B60" s="251">
        <f t="shared" si="0"/>
        <v>53</v>
      </c>
      <c r="C60" s="387"/>
      <c r="D60" s="388"/>
      <c r="E60" s="175">
        <f>'1.5.1a-TCJA RBAM'!H60</f>
        <v>0</v>
      </c>
      <c r="F60" s="389"/>
      <c r="G60" s="389"/>
      <c r="H60" s="389"/>
      <c r="I60" s="389"/>
      <c r="J60" s="834"/>
      <c r="K60" s="840"/>
      <c r="L60" s="387"/>
      <c r="M60" s="387"/>
      <c r="N60" s="388"/>
    </row>
    <row r="61" spans="2:14" ht="13.8">
      <c r="B61" s="251">
        <f t="shared" si="0"/>
        <v>54</v>
      </c>
      <c r="C61" s="174"/>
      <c r="D61" s="170"/>
      <c r="E61" s="175"/>
      <c r="F61" s="175"/>
      <c r="G61" s="175"/>
      <c r="H61" s="175"/>
      <c r="I61" s="175"/>
      <c r="J61" s="175"/>
      <c r="K61" s="175"/>
      <c r="L61" s="175"/>
      <c r="M61" s="175"/>
      <c r="N61" s="170"/>
    </row>
    <row r="62" spans="2:14" ht="13.8">
      <c r="B62" s="251">
        <f t="shared" si="0"/>
        <v>55</v>
      </c>
      <c r="C62" s="174"/>
      <c r="D62" s="176" t="s">
        <v>492</v>
      </c>
      <c r="E62" s="175">
        <f>SUM(E54:E60)</f>
        <v>-601960</v>
      </c>
      <c r="F62" s="175">
        <f>SUM(F54:F60)</f>
        <v>-137117</v>
      </c>
      <c r="G62" s="175">
        <f>SUM(G54:G60)</f>
        <v>0</v>
      </c>
      <c r="H62" s="175">
        <f>SUM(H54:H60)</f>
        <v>-464843</v>
      </c>
      <c r="I62" s="175">
        <f>SUM(I54:I60)</f>
        <v>0</v>
      </c>
      <c r="J62" s="175"/>
      <c r="K62" s="175"/>
      <c r="L62" s="175"/>
      <c r="M62" s="175"/>
      <c r="N62" s="170"/>
    </row>
    <row r="63" spans="2:14" ht="14.4" thickBot="1">
      <c r="B63" s="251">
        <f t="shared" si="0"/>
        <v>56</v>
      </c>
      <c r="C63" s="174"/>
      <c r="D63" s="176" t="s">
        <v>1366</v>
      </c>
      <c r="E63" s="175">
        <f>E48+E62</f>
        <v>-1273075</v>
      </c>
      <c r="F63" s="175"/>
      <c r="G63" s="175"/>
      <c r="H63" s="175"/>
      <c r="I63" s="175"/>
      <c r="J63" s="175"/>
      <c r="K63" s="175"/>
      <c r="L63" s="175"/>
      <c r="M63" s="175"/>
      <c r="N63" s="170"/>
    </row>
    <row r="64" spans="2:14" ht="28.2" thickBot="1">
      <c r="B64" s="251">
        <f t="shared" si="0"/>
        <v>57</v>
      </c>
      <c r="C64" s="174"/>
      <c r="D64" s="731" t="s">
        <v>1596</v>
      </c>
      <c r="E64" s="511">
        <f>+Inputs!D254</f>
        <v>-1273075</v>
      </c>
      <c r="F64" s="232"/>
      <c r="G64" s="232"/>
      <c r="H64" s="232"/>
      <c r="I64" s="232"/>
      <c r="J64" s="232"/>
      <c r="K64" s="175"/>
      <c r="L64" s="175"/>
      <c r="M64" s="175"/>
      <c r="N64" s="395"/>
    </row>
    <row r="65" spans="2:14" ht="13.8">
      <c r="B65" s="251">
        <f t="shared" si="0"/>
        <v>58</v>
      </c>
      <c r="C65" s="174"/>
      <c r="D65" s="176" t="s">
        <v>41</v>
      </c>
      <c r="E65" s="175"/>
      <c r="F65" s="442">
        <f>F49</f>
        <v>0</v>
      </c>
      <c r="G65" s="442">
        <f>G36</f>
        <v>1</v>
      </c>
      <c r="H65" s="442">
        <f>AppendixA!$H$27</f>
        <v>7.4491583404762904E-2</v>
      </c>
      <c r="I65" s="442">
        <f>AppendixA!$H$16</f>
        <v>4.4161101816983732E-2</v>
      </c>
      <c r="J65" s="177"/>
      <c r="K65" s="170"/>
      <c r="L65" s="170"/>
      <c r="M65" s="170"/>
      <c r="N65" s="170"/>
    </row>
    <row r="66" spans="2:14" ht="13.8">
      <c r="B66" s="251">
        <f t="shared" si="0"/>
        <v>59</v>
      </c>
      <c r="C66" s="168"/>
      <c r="D66" s="176" t="s">
        <v>1367</v>
      </c>
      <c r="E66" s="175"/>
      <c r="F66" s="175">
        <f>F62*F65</f>
        <v>0</v>
      </c>
      <c r="G66" s="175">
        <f>G62*G65</f>
        <v>0</v>
      </c>
      <c r="H66" s="175">
        <f>H62*H65</f>
        <v>-34626.891104620205</v>
      </c>
      <c r="I66" s="175">
        <f>I62*I65</f>
        <v>0</v>
      </c>
      <c r="J66" s="444">
        <f>-SUM(F66:I66)</f>
        <v>34626.891104620205</v>
      </c>
      <c r="K66" s="443"/>
      <c r="L66" s="443"/>
      <c r="M66" s="443"/>
      <c r="N66" s="170" t="s">
        <v>1360</v>
      </c>
    </row>
    <row r="67" spans="2:14" ht="14.4" thickBot="1">
      <c r="B67" s="251">
        <f t="shared" si="0"/>
        <v>60</v>
      </c>
      <c r="C67" s="168"/>
      <c r="D67" s="176"/>
      <c r="E67" s="175"/>
      <c r="F67" s="175"/>
      <c r="G67" s="175"/>
      <c r="H67" s="175"/>
      <c r="I67" s="175"/>
      <c r="J67" s="175"/>
      <c r="K67" s="175"/>
      <c r="L67" s="175"/>
      <c r="M67" s="175"/>
      <c r="N67" s="170"/>
    </row>
    <row r="68" spans="2:14" ht="14.4" thickBot="1">
      <c r="B68" s="251">
        <f t="shared" si="0"/>
        <v>61</v>
      </c>
      <c r="D68" s="176" t="s">
        <v>1507</v>
      </c>
      <c r="E68" s="175"/>
      <c r="F68" s="175"/>
      <c r="G68" s="175"/>
      <c r="H68" s="175"/>
      <c r="I68" s="175"/>
      <c r="J68" s="511">
        <f>+J50+J66</f>
        <v>78584.225488603988</v>
      </c>
      <c r="K68" s="175"/>
      <c r="L68" s="175"/>
      <c r="M68" s="175"/>
      <c r="N68" s="170" t="s">
        <v>1360</v>
      </c>
    </row>
    <row r="69" spans="2:14" ht="13.8">
      <c r="B69" s="251">
        <f t="shared" si="0"/>
        <v>62</v>
      </c>
      <c r="D69" s="176"/>
      <c r="E69" s="175"/>
      <c r="F69" s="175"/>
      <c r="G69" s="175"/>
      <c r="H69" s="175"/>
      <c r="I69" s="175"/>
      <c r="J69" s="175"/>
      <c r="K69" s="175"/>
      <c r="L69" s="175"/>
      <c r="M69" s="175"/>
      <c r="N69" s="170"/>
    </row>
    <row r="70" spans="2:14" ht="15" customHeight="1">
      <c r="B70" s="251">
        <f t="shared" si="0"/>
        <v>63</v>
      </c>
      <c r="D70" s="843" t="s">
        <v>1483</v>
      </c>
      <c r="E70" s="842"/>
      <c r="F70" s="842"/>
      <c r="G70" s="842"/>
      <c r="H70" s="842"/>
      <c r="I70" s="260"/>
      <c r="J70" s="260"/>
      <c r="K70" s="260"/>
      <c r="L70" s="260"/>
      <c r="M70" s="260"/>
      <c r="N70" s="261"/>
    </row>
    <row r="71" spans="2:14" ht="13.8">
      <c r="B71" s="251">
        <f t="shared" si="0"/>
        <v>64</v>
      </c>
      <c r="D71" s="867" t="s">
        <v>1484</v>
      </c>
      <c r="E71" s="843"/>
      <c r="F71" s="843"/>
      <c r="G71" s="843"/>
      <c r="H71" s="843"/>
      <c r="I71" s="260"/>
      <c r="J71" s="260"/>
      <c r="K71" s="260"/>
      <c r="L71" s="260"/>
      <c r="M71" s="260"/>
      <c r="N71" s="261"/>
    </row>
    <row r="72" spans="2:14" ht="15" customHeight="1">
      <c r="B72" s="251">
        <f t="shared" si="0"/>
        <v>65</v>
      </c>
      <c r="D72" s="844" t="s">
        <v>1445</v>
      </c>
      <c r="E72" s="844"/>
      <c r="F72" s="844"/>
      <c r="G72" s="844"/>
      <c r="H72" s="844"/>
      <c r="I72" s="261"/>
      <c r="J72" s="261"/>
      <c r="K72" s="262"/>
      <c r="L72" s="262"/>
      <c r="M72" s="262"/>
      <c r="N72" s="261"/>
    </row>
    <row r="73" spans="2:14" ht="15" customHeight="1">
      <c r="B73" s="251"/>
      <c r="D73" s="844"/>
      <c r="E73" s="844"/>
      <c r="F73" s="844"/>
      <c r="G73" s="844"/>
      <c r="H73" s="844"/>
      <c r="I73" s="261"/>
      <c r="J73" s="261"/>
      <c r="K73" s="262"/>
      <c r="L73" s="262"/>
      <c r="M73" s="262"/>
      <c r="N73" s="261"/>
    </row>
    <row r="74" spans="2:14" ht="13.8">
      <c r="B74" s="953" t="s">
        <v>1368</v>
      </c>
      <c r="C74" s="953"/>
      <c r="D74" s="953"/>
      <c r="E74" s="953"/>
      <c r="F74" s="953"/>
      <c r="G74" s="953"/>
      <c r="H74" s="953"/>
      <c r="I74" s="953"/>
      <c r="J74" s="953"/>
      <c r="K74" s="953"/>
      <c r="L74" s="953"/>
      <c r="M74" s="953"/>
      <c r="N74" s="953"/>
    </row>
    <row r="75" spans="2:14" ht="13.8">
      <c r="B75" s="943" t="s">
        <v>504</v>
      </c>
      <c r="C75" s="943"/>
      <c r="D75" s="943"/>
      <c r="E75" s="943"/>
      <c r="F75" s="943"/>
      <c r="G75" s="943"/>
      <c r="H75" s="943"/>
      <c r="I75" s="943"/>
      <c r="J75" s="943"/>
      <c r="K75" s="943"/>
      <c r="L75" s="943"/>
      <c r="M75" s="943"/>
      <c r="N75" s="943"/>
    </row>
  </sheetData>
  <mergeCells count="14">
    <mergeCell ref="M5:M7"/>
    <mergeCell ref="N5:N7"/>
    <mergeCell ref="B74:N74"/>
    <mergeCell ref="B75:N75"/>
    <mergeCell ref="B1:N1"/>
    <mergeCell ref="B2:N2"/>
    <mergeCell ref="E5:E7"/>
    <mergeCell ref="F5:F7"/>
    <mergeCell ref="G5:G7"/>
    <mergeCell ref="H5:H7"/>
    <mergeCell ref="I5:I7"/>
    <mergeCell ref="J5:J7"/>
    <mergeCell ref="K5:K7"/>
    <mergeCell ref="L5:L7"/>
  </mergeCells>
  <printOptions horizontalCentered="1"/>
  <pageMargins left="0.7" right="0.7" top="0.75" bottom="0.75" header="0.3" footer="0.3"/>
  <pageSetup scale="40" fitToHeight="0" orientation="landscape" r:id="rId1"/>
  <headerFooter>
    <oddHeader>&amp;C&amp;"Arial,Bold"ADDENDUM 27 TO ATTACHMENT H, Page &amp;P of &amp;N
NorthWestern Corporation (South Dakota)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75"/>
  <sheetViews>
    <sheetView zoomScale="80" zoomScaleNormal="80" workbookViewId="0"/>
  </sheetViews>
  <sheetFormatPr defaultRowHeight="13.2"/>
  <cols>
    <col min="1" max="1" width="2" style="791" customWidth="1"/>
    <col min="2" max="2" width="5.6640625" style="791" customWidth="1"/>
    <col min="3" max="3" width="8.33203125" style="804" customWidth="1"/>
    <col min="4" max="4" width="54.6640625" style="791" customWidth="1"/>
    <col min="5" max="5" width="20.6640625" style="791" customWidth="1"/>
    <col min="6" max="9" width="17.33203125" style="791" customWidth="1"/>
    <col min="10" max="10" width="17.44140625" style="791" customWidth="1"/>
    <col min="11" max="11" width="14.33203125" style="791" customWidth="1"/>
    <col min="12" max="12" width="13.5546875" style="791" customWidth="1"/>
    <col min="13" max="13" width="13.109375" style="791" customWidth="1"/>
    <col min="14" max="14" width="28.6640625" style="791" customWidth="1"/>
    <col min="15" max="256" width="9.109375" style="791"/>
    <col min="257" max="257" width="2" style="791" customWidth="1"/>
    <col min="258" max="258" width="5.6640625" style="791" customWidth="1"/>
    <col min="259" max="259" width="8.33203125" style="791" customWidth="1"/>
    <col min="260" max="260" width="54.6640625" style="791" customWidth="1"/>
    <col min="261" max="261" width="20.6640625" style="791" customWidth="1"/>
    <col min="262" max="265" width="17.33203125" style="791" customWidth="1"/>
    <col min="266" max="266" width="17.44140625" style="791" customWidth="1"/>
    <col min="267" max="267" width="14.33203125" style="791" customWidth="1"/>
    <col min="268" max="268" width="13.5546875" style="791" customWidth="1"/>
    <col min="269" max="269" width="13.109375" style="791" customWidth="1"/>
    <col min="270" max="270" width="23.44140625" style="791" bestFit="1" customWidth="1"/>
    <col min="271" max="512" width="9.109375" style="791"/>
    <col min="513" max="513" width="2" style="791" customWidth="1"/>
    <col min="514" max="514" width="5.6640625" style="791" customWidth="1"/>
    <col min="515" max="515" width="8.33203125" style="791" customWidth="1"/>
    <col min="516" max="516" width="54.6640625" style="791" customWidth="1"/>
    <col min="517" max="517" width="20.6640625" style="791" customWidth="1"/>
    <col min="518" max="521" width="17.33203125" style="791" customWidth="1"/>
    <col min="522" max="522" width="17.44140625" style="791" customWidth="1"/>
    <col min="523" max="523" width="14.33203125" style="791" customWidth="1"/>
    <col min="524" max="524" width="13.5546875" style="791" customWidth="1"/>
    <col min="525" max="525" width="13.109375" style="791" customWidth="1"/>
    <col min="526" max="526" width="23.44140625" style="791" bestFit="1" customWidth="1"/>
    <col min="527" max="768" width="9.109375" style="791"/>
    <col min="769" max="769" width="2" style="791" customWidth="1"/>
    <col min="770" max="770" width="5.6640625" style="791" customWidth="1"/>
    <col min="771" max="771" width="8.33203125" style="791" customWidth="1"/>
    <col min="772" max="772" width="54.6640625" style="791" customWidth="1"/>
    <col min="773" max="773" width="20.6640625" style="791" customWidth="1"/>
    <col min="774" max="777" width="17.33203125" style="791" customWidth="1"/>
    <col min="778" max="778" width="17.44140625" style="791" customWidth="1"/>
    <col min="779" max="779" width="14.33203125" style="791" customWidth="1"/>
    <col min="780" max="780" width="13.5546875" style="791" customWidth="1"/>
    <col min="781" max="781" width="13.109375" style="791" customWidth="1"/>
    <col min="782" max="782" width="23.44140625" style="791" bestFit="1" customWidth="1"/>
    <col min="783" max="1024" width="9.109375" style="791"/>
    <col min="1025" max="1025" width="2" style="791" customWidth="1"/>
    <col min="1026" max="1026" width="5.6640625" style="791" customWidth="1"/>
    <col min="1027" max="1027" width="8.33203125" style="791" customWidth="1"/>
    <col min="1028" max="1028" width="54.6640625" style="791" customWidth="1"/>
    <col min="1029" max="1029" width="20.6640625" style="791" customWidth="1"/>
    <col min="1030" max="1033" width="17.33203125" style="791" customWidth="1"/>
    <col min="1034" max="1034" width="17.44140625" style="791" customWidth="1"/>
    <col min="1035" max="1035" width="14.33203125" style="791" customWidth="1"/>
    <col min="1036" max="1036" width="13.5546875" style="791" customWidth="1"/>
    <col min="1037" max="1037" width="13.109375" style="791" customWidth="1"/>
    <col min="1038" max="1038" width="23.44140625" style="791" bestFit="1" customWidth="1"/>
    <col min="1039" max="1280" width="9.109375" style="791"/>
    <col min="1281" max="1281" width="2" style="791" customWidth="1"/>
    <col min="1282" max="1282" width="5.6640625" style="791" customWidth="1"/>
    <col min="1283" max="1283" width="8.33203125" style="791" customWidth="1"/>
    <col min="1284" max="1284" width="54.6640625" style="791" customWidth="1"/>
    <col min="1285" max="1285" width="20.6640625" style="791" customWidth="1"/>
    <col min="1286" max="1289" width="17.33203125" style="791" customWidth="1"/>
    <col min="1290" max="1290" width="17.44140625" style="791" customWidth="1"/>
    <col min="1291" max="1291" width="14.33203125" style="791" customWidth="1"/>
    <col min="1292" max="1292" width="13.5546875" style="791" customWidth="1"/>
    <col min="1293" max="1293" width="13.109375" style="791" customWidth="1"/>
    <col min="1294" max="1294" width="23.44140625" style="791" bestFit="1" customWidth="1"/>
    <col min="1295" max="1536" width="9.109375" style="791"/>
    <col min="1537" max="1537" width="2" style="791" customWidth="1"/>
    <col min="1538" max="1538" width="5.6640625" style="791" customWidth="1"/>
    <col min="1539" max="1539" width="8.33203125" style="791" customWidth="1"/>
    <col min="1540" max="1540" width="54.6640625" style="791" customWidth="1"/>
    <col min="1541" max="1541" width="20.6640625" style="791" customWidth="1"/>
    <col min="1542" max="1545" width="17.33203125" style="791" customWidth="1"/>
    <col min="1546" max="1546" width="17.44140625" style="791" customWidth="1"/>
    <col min="1547" max="1547" width="14.33203125" style="791" customWidth="1"/>
    <col min="1548" max="1548" width="13.5546875" style="791" customWidth="1"/>
    <col min="1549" max="1549" width="13.109375" style="791" customWidth="1"/>
    <col min="1550" max="1550" width="23.44140625" style="791" bestFit="1" customWidth="1"/>
    <col min="1551" max="1792" width="9.109375" style="791"/>
    <col min="1793" max="1793" width="2" style="791" customWidth="1"/>
    <col min="1794" max="1794" width="5.6640625" style="791" customWidth="1"/>
    <col min="1795" max="1795" width="8.33203125" style="791" customWidth="1"/>
    <col min="1796" max="1796" width="54.6640625" style="791" customWidth="1"/>
    <col min="1797" max="1797" width="20.6640625" style="791" customWidth="1"/>
    <col min="1798" max="1801" width="17.33203125" style="791" customWidth="1"/>
    <col min="1802" max="1802" width="17.44140625" style="791" customWidth="1"/>
    <col min="1803" max="1803" width="14.33203125" style="791" customWidth="1"/>
    <col min="1804" max="1804" width="13.5546875" style="791" customWidth="1"/>
    <col min="1805" max="1805" width="13.109375" style="791" customWidth="1"/>
    <col min="1806" max="1806" width="23.44140625" style="791" bestFit="1" customWidth="1"/>
    <col min="1807" max="2048" width="9.109375" style="791"/>
    <col min="2049" max="2049" width="2" style="791" customWidth="1"/>
    <col min="2050" max="2050" width="5.6640625" style="791" customWidth="1"/>
    <col min="2051" max="2051" width="8.33203125" style="791" customWidth="1"/>
    <col min="2052" max="2052" width="54.6640625" style="791" customWidth="1"/>
    <col min="2053" max="2053" width="20.6640625" style="791" customWidth="1"/>
    <col min="2054" max="2057" width="17.33203125" style="791" customWidth="1"/>
    <col min="2058" max="2058" width="17.44140625" style="791" customWidth="1"/>
    <col min="2059" max="2059" width="14.33203125" style="791" customWidth="1"/>
    <col min="2060" max="2060" width="13.5546875" style="791" customWidth="1"/>
    <col min="2061" max="2061" width="13.109375" style="791" customWidth="1"/>
    <col min="2062" max="2062" width="23.44140625" style="791" bestFit="1" customWidth="1"/>
    <col min="2063" max="2304" width="9.109375" style="791"/>
    <col min="2305" max="2305" width="2" style="791" customWidth="1"/>
    <col min="2306" max="2306" width="5.6640625" style="791" customWidth="1"/>
    <col min="2307" max="2307" width="8.33203125" style="791" customWidth="1"/>
    <col min="2308" max="2308" width="54.6640625" style="791" customWidth="1"/>
    <col min="2309" max="2309" width="20.6640625" style="791" customWidth="1"/>
    <col min="2310" max="2313" width="17.33203125" style="791" customWidth="1"/>
    <col min="2314" max="2314" width="17.44140625" style="791" customWidth="1"/>
    <col min="2315" max="2315" width="14.33203125" style="791" customWidth="1"/>
    <col min="2316" max="2316" width="13.5546875" style="791" customWidth="1"/>
    <col min="2317" max="2317" width="13.109375" style="791" customWidth="1"/>
    <col min="2318" max="2318" width="23.44140625" style="791" bestFit="1" customWidth="1"/>
    <col min="2319" max="2560" width="9.109375" style="791"/>
    <col min="2561" max="2561" width="2" style="791" customWidth="1"/>
    <col min="2562" max="2562" width="5.6640625" style="791" customWidth="1"/>
    <col min="2563" max="2563" width="8.33203125" style="791" customWidth="1"/>
    <col min="2564" max="2564" width="54.6640625" style="791" customWidth="1"/>
    <col min="2565" max="2565" width="20.6640625" style="791" customWidth="1"/>
    <col min="2566" max="2569" width="17.33203125" style="791" customWidth="1"/>
    <col min="2570" max="2570" width="17.44140625" style="791" customWidth="1"/>
    <col min="2571" max="2571" width="14.33203125" style="791" customWidth="1"/>
    <col min="2572" max="2572" width="13.5546875" style="791" customWidth="1"/>
    <col min="2573" max="2573" width="13.109375" style="791" customWidth="1"/>
    <col min="2574" max="2574" width="23.44140625" style="791" bestFit="1" customWidth="1"/>
    <col min="2575" max="2816" width="9.109375" style="791"/>
    <col min="2817" max="2817" width="2" style="791" customWidth="1"/>
    <col min="2818" max="2818" width="5.6640625" style="791" customWidth="1"/>
    <col min="2819" max="2819" width="8.33203125" style="791" customWidth="1"/>
    <col min="2820" max="2820" width="54.6640625" style="791" customWidth="1"/>
    <col min="2821" max="2821" width="20.6640625" style="791" customWidth="1"/>
    <col min="2822" max="2825" width="17.33203125" style="791" customWidth="1"/>
    <col min="2826" max="2826" width="17.44140625" style="791" customWidth="1"/>
    <col min="2827" max="2827" width="14.33203125" style="791" customWidth="1"/>
    <col min="2828" max="2828" width="13.5546875" style="791" customWidth="1"/>
    <col min="2829" max="2829" width="13.109375" style="791" customWidth="1"/>
    <col min="2830" max="2830" width="23.44140625" style="791" bestFit="1" customWidth="1"/>
    <col min="2831" max="3072" width="9.109375" style="791"/>
    <col min="3073" max="3073" width="2" style="791" customWidth="1"/>
    <col min="3074" max="3074" width="5.6640625" style="791" customWidth="1"/>
    <col min="3075" max="3075" width="8.33203125" style="791" customWidth="1"/>
    <col min="3076" max="3076" width="54.6640625" style="791" customWidth="1"/>
    <col min="3077" max="3077" width="20.6640625" style="791" customWidth="1"/>
    <col min="3078" max="3081" width="17.33203125" style="791" customWidth="1"/>
    <col min="3082" max="3082" width="17.44140625" style="791" customWidth="1"/>
    <col min="3083" max="3083" width="14.33203125" style="791" customWidth="1"/>
    <col min="3084" max="3084" width="13.5546875" style="791" customWidth="1"/>
    <col min="3085" max="3085" width="13.109375" style="791" customWidth="1"/>
    <col min="3086" max="3086" width="23.44140625" style="791" bestFit="1" customWidth="1"/>
    <col min="3087" max="3328" width="9.109375" style="791"/>
    <col min="3329" max="3329" width="2" style="791" customWidth="1"/>
    <col min="3330" max="3330" width="5.6640625" style="791" customWidth="1"/>
    <col min="3331" max="3331" width="8.33203125" style="791" customWidth="1"/>
    <col min="3332" max="3332" width="54.6640625" style="791" customWidth="1"/>
    <col min="3333" max="3333" width="20.6640625" style="791" customWidth="1"/>
    <col min="3334" max="3337" width="17.33203125" style="791" customWidth="1"/>
    <col min="3338" max="3338" width="17.44140625" style="791" customWidth="1"/>
    <col min="3339" max="3339" width="14.33203125" style="791" customWidth="1"/>
    <col min="3340" max="3340" width="13.5546875" style="791" customWidth="1"/>
    <col min="3341" max="3341" width="13.109375" style="791" customWidth="1"/>
    <col min="3342" max="3342" width="23.44140625" style="791" bestFit="1" customWidth="1"/>
    <col min="3343" max="3584" width="9.109375" style="791"/>
    <col min="3585" max="3585" width="2" style="791" customWidth="1"/>
    <col min="3586" max="3586" width="5.6640625" style="791" customWidth="1"/>
    <col min="3587" max="3587" width="8.33203125" style="791" customWidth="1"/>
    <col min="3588" max="3588" width="54.6640625" style="791" customWidth="1"/>
    <col min="3589" max="3589" width="20.6640625" style="791" customWidth="1"/>
    <col min="3590" max="3593" width="17.33203125" style="791" customWidth="1"/>
    <col min="3594" max="3594" width="17.44140625" style="791" customWidth="1"/>
    <col min="3595" max="3595" width="14.33203125" style="791" customWidth="1"/>
    <col min="3596" max="3596" width="13.5546875" style="791" customWidth="1"/>
    <col min="3597" max="3597" width="13.109375" style="791" customWidth="1"/>
    <col min="3598" max="3598" width="23.44140625" style="791" bestFit="1" customWidth="1"/>
    <col min="3599" max="3840" width="9.109375" style="791"/>
    <col min="3841" max="3841" width="2" style="791" customWidth="1"/>
    <col min="3842" max="3842" width="5.6640625" style="791" customWidth="1"/>
    <col min="3843" max="3843" width="8.33203125" style="791" customWidth="1"/>
    <col min="3844" max="3844" width="54.6640625" style="791" customWidth="1"/>
    <col min="3845" max="3845" width="20.6640625" style="791" customWidth="1"/>
    <col min="3846" max="3849" width="17.33203125" style="791" customWidth="1"/>
    <col min="3850" max="3850" width="17.44140625" style="791" customWidth="1"/>
    <col min="3851" max="3851" width="14.33203125" style="791" customWidth="1"/>
    <col min="3852" max="3852" width="13.5546875" style="791" customWidth="1"/>
    <col min="3853" max="3853" width="13.109375" style="791" customWidth="1"/>
    <col min="3854" max="3854" width="23.44140625" style="791" bestFit="1" customWidth="1"/>
    <col min="3855" max="4096" width="9.109375" style="791"/>
    <col min="4097" max="4097" width="2" style="791" customWidth="1"/>
    <col min="4098" max="4098" width="5.6640625" style="791" customWidth="1"/>
    <col min="4099" max="4099" width="8.33203125" style="791" customWidth="1"/>
    <col min="4100" max="4100" width="54.6640625" style="791" customWidth="1"/>
    <col min="4101" max="4101" width="20.6640625" style="791" customWidth="1"/>
    <col min="4102" max="4105" width="17.33203125" style="791" customWidth="1"/>
    <col min="4106" max="4106" width="17.44140625" style="791" customWidth="1"/>
    <col min="4107" max="4107" width="14.33203125" style="791" customWidth="1"/>
    <col min="4108" max="4108" width="13.5546875" style="791" customWidth="1"/>
    <col min="4109" max="4109" width="13.109375" style="791" customWidth="1"/>
    <col min="4110" max="4110" width="23.44140625" style="791" bestFit="1" customWidth="1"/>
    <col min="4111" max="4352" width="9.109375" style="791"/>
    <col min="4353" max="4353" width="2" style="791" customWidth="1"/>
    <col min="4354" max="4354" width="5.6640625" style="791" customWidth="1"/>
    <col min="4355" max="4355" width="8.33203125" style="791" customWidth="1"/>
    <col min="4356" max="4356" width="54.6640625" style="791" customWidth="1"/>
    <col min="4357" max="4357" width="20.6640625" style="791" customWidth="1"/>
    <col min="4358" max="4361" width="17.33203125" style="791" customWidth="1"/>
    <col min="4362" max="4362" width="17.44140625" style="791" customWidth="1"/>
    <col min="4363" max="4363" width="14.33203125" style="791" customWidth="1"/>
    <col min="4364" max="4364" width="13.5546875" style="791" customWidth="1"/>
    <col min="4365" max="4365" width="13.109375" style="791" customWidth="1"/>
    <col min="4366" max="4366" width="23.44140625" style="791" bestFit="1" customWidth="1"/>
    <col min="4367" max="4608" width="9.109375" style="791"/>
    <col min="4609" max="4609" width="2" style="791" customWidth="1"/>
    <col min="4610" max="4610" width="5.6640625" style="791" customWidth="1"/>
    <col min="4611" max="4611" width="8.33203125" style="791" customWidth="1"/>
    <col min="4612" max="4612" width="54.6640625" style="791" customWidth="1"/>
    <col min="4613" max="4613" width="20.6640625" style="791" customWidth="1"/>
    <col min="4614" max="4617" width="17.33203125" style="791" customWidth="1"/>
    <col min="4618" max="4618" width="17.44140625" style="791" customWidth="1"/>
    <col min="4619" max="4619" width="14.33203125" style="791" customWidth="1"/>
    <col min="4620" max="4620" width="13.5546875" style="791" customWidth="1"/>
    <col min="4621" max="4621" width="13.109375" style="791" customWidth="1"/>
    <col min="4622" max="4622" width="23.44140625" style="791" bestFit="1" customWidth="1"/>
    <col min="4623" max="4864" width="9.109375" style="791"/>
    <col min="4865" max="4865" width="2" style="791" customWidth="1"/>
    <col min="4866" max="4866" width="5.6640625" style="791" customWidth="1"/>
    <col min="4867" max="4867" width="8.33203125" style="791" customWidth="1"/>
    <col min="4868" max="4868" width="54.6640625" style="791" customWidth="1"/>
    <col min="4869" max="4869" width="20.6640625" style="791" customWidth="1"/>
    <col min="4870" max="4873" width="17.33203125" style="791" customWidth="1"/>
    <col min="4874" max="4874" width="17.44140625" style="791" customWidth="1"/>
    <col min="4875" max="4875" width="14.33203125" style="791" customWidth="1"/>
    <col min="4876" max="4876" width="13.5546875" style="791" customWidth="1"/>
    <col min="4877" max="4877" width="13.109375" style="791" customWidth="1"/>
    <col min="4878" max="4878" width="23.44140625" style="791" bestFit="1" customWidth="1"/>
    <col min="4879" max="5120" width="9.109375" style="791"/>
    <col min="5121" max="5121" width="2" style="791" customWidth="1"/>
    <col min="5122" max="5122" width="5.6640625" style="791" customWidth="1"/>
    <col min="5123" max="5123" width="8.33203125" style="791" customWidth="1"/>
    <col min="5124" max="5124" width="54.6640625" style="791" customWidth="1"/>
    <col min="5125" max="5125" width="20.6640625" style="791" customWidth="1"/>
    <col min="5126" max="5129" width="17.33203125" style="791" customWidth="1"/>
    <col min="5130" max="5130" width="17.44140625" style="791" customWidth="1"/>
    <col min="5131" max="5131" width="14.33203125" style="791" customWidth="1"/>
    <col min="5132" max="5132" width="13.5546875" style="791" customWidth="1"/>
    <col min="5133" max="5133" width="13.109375" style="791" customWidth="1"/>
    <col min="5134" max="5134" width="23.44140625" style="791" bestFit="1" customWidth="1"/>
    <col min="5135" max="5376" width="9.109375" style="791"/>
    <col min="5377" max="5377" width="2" style="791" customWidth="1"/>
    <col min="5378" max="5378" width="5.6640625" style="791" customWidth="1"/>
    <col min="5379" max="5379" width="8.33203125" style="791" customWidth="1"/>
    <col min="5380" max="5380" width="54.6640625" style="791" customWidth="1"/>
    <col min="5381" max="5381" width="20.6640625" style="791" customWidth="1"/>
    <col min="5382" max="5385" width="17.33203125" style="791" customWidth="1"/>
    <col min="5386" max="5386" width="17.44140625" style="791" customWidth="1"/>
    <col min="5387" max="5387" width="14.33203125" style="791" customWidth="1"/>
    <col min="5388" max="5388" width="13.5546875" style="791" customWidth="1"/>
    <col min="5389" max="5389" width="13.109375" style="791" customWidth="1"/>
    <col min="5390" max="5390" width="23.44140625" style="791" bestFit="1" customWidth="1"/>
    <col min="5391" max="5632" width="9.109375" style="791"/>
    <col min="5633" max="5633" width="2" style="791" customWidth="1"/>
    <col min="5634" max="5634" width="5.6640625" style="791" customWidth="1"/>
    <col min="5635" max="5635" width="8.33203125" style="791" customWidth="1"/>
    <col min="5636" max="5636" width="54.6640625" style="791" customWidth="1"/>
    <col min="5637" max="5637" width="20.6640625" style="791" customWidth="1"/>
    <col min="5638" max="5641" width="17.33203125" style="791" customWidth="1"/>
    <col min="5642" max="5642" width="17.44140625" style="791" customWidth="1"/>
    <col min="5643" max="5643" width="14.33203125" style="791" customWidth="1"/>
    <col min="5644" max="5644" width="13.5546875" style="791" customWidth="1"/>
    <col min="5645" max="5645" width="13.109375" style="791" customWidth="1"/>
    <col min="5646" max="5646" width="23.44140625" style="791" bestFit="1" customWidth="1"/>
    <col min="5647" max="5888" width="9.109375" style="791"/>
    <col min="5889" max="5889" width="2" style="791" customWidth="1"/>
    <col min="5890" max="5890" width="5.6640625" style="791" customWidth="1"/>
    <col min="5891" max="5891" width="8.33203125" style="791" customWidth="1"/>
    <col min="5892" max="5892" width="54.6640625" style="791" customWidth="1"/>
    <col min="5893" max="5893" width="20.6640625" style="791" customWidth="1"/>
    <col min="5894" max="5897" width="17.33203125" style="791" customWidth="1"/>
    <col min="5898" max="5898" width="17.44140625" style="791" customWidth="1"/>
    <col min="5899" max="5899" width="14.33203125" style="791" customWidth="1"/>
    <col min="5900" max="5900" width="13.5546875" style="791" customWidth="1"/>
    <col min="5901" max="5901" width="13.109375" style="791" customWidth="1"/>
    <col min="5902" max="5902" width="23.44140625" style="791" bestFit="1" customWidth="1"/>
    <col min="5903" max="6144" width="9.109375" style="791"/>
    <col min="6145" max="6145" width="2" style="791" customWidth="1"/>
    <col min="6146" max="6146" width="5.6640625" style="791" customWidth="1"/>
    <col min="6147" max="6147" width="8.33203125" style="791" customWidth="1"/>
    <col min="6148" max="6148" width="54.6640625" style="791" customWidth="1"/>
    <col min="6149" max="6149" width="20.6640625" style="791" customWidth="1"/>
    <col min="6150" max="6153" width="17.33203125" style="791" customWidth="1"/>
    <col min="6154" max="6154" width="17.44140625" style="791" customWidth="1"/>
    <col min="6155" max="6155" width="14.33203125" style="791" customWidth="1"/>
    <col min="6156" max="6156" width="13.5546875" style="791" customWidth="1"/>
    <col min="6157" max="6157" width="13.109375" style="791" customWidth="1"/>
    <col min="6158" max="6158" width="23.44140625" style="791" bestFit="1" customWidth="1"/>
    <col min="6159" max="6400" width="9.109375" style="791"/>
    <col min="6401" max="6401" width="2" style="791" customWidth="1"/>
    <col min="6402" max="6402" width="5.6640625" style="791" customWidth="1"/>
    <col min="6403" max="6403" width="8.33203125" style="791" customWidth="1"/>
    <col min="6404" max="6404" width="54.6640625" style="791" customWidth="1"/>
    <col min="6405" max="6405" width="20.6640625" style="791" customWidth="1"/>
    <col min="6406" max="6409" width="17.33203125" style="791" customWidth="1"/>
    <col min="6410" max="6410" width="17.44140625" style="791" customWidth="1"/>
    <col min="6411" max="6411" width="14.33203125" style="791" customWidth="1"/>
    <col min="6412" max="6412" width="13.5546875" style="791" customWidth="1"/>
    <col min="6413" max="6413" width="13.109375" style="791" customWidth="1"/>
    <col min="6414" max="6414" width="23.44140625" style="791" bestFit="1" customWidth="1"/>
    <col min="6415" max="6656" width="9.109375" style="791"/>
    <col min="6657" max="6657" width="2" style="791" customWidth="1"/>
    <col min="6658" max="6658" width="5.6640625" style="791" customWidth="1"/>
    <col min="6659" max="6659" width="8.33203125" style="791" customWidth="1"/>
    <col min="6660" max="6660" width="54.6640625" style="791" customWidth="1"/>
    <col min="6661" max="6661" width="20.6640625" style="791" customWidth="1"/>
    <col min="6662" max="6665" width="17.33203125" style="791" customWidth="1"/>
    <col min="6666" max="6666" width="17.44140625" style="791" customWidth="1"/>
    <col min="6667" max="6667" width="14.33203125" style="791" customWidth="1"/>
    <col min="6668" max="6668" width="13.5546875" style="791" customWidth="1"/>
    <col min="6669" max="6669" width="13.109375" style="791" customWidth="1"/>
    <col min="6670" max="6670" width="23.44140625" style="791" bestFit="1" customWidth="1"/>
    <col min="6671" max="6912" width="9.109375" style="791"/>
    <col min="6913" max="6913" width="2" style="791" customWidth="1"/>
    <col min="6914" max="6914" width="5.6640625" style="791" customWidth="1"/>
    <col min="6915" max="6915" width="8.33203125" style="791" customWidth="1"/>
    <col min="6916" max="6916" width="54.6640625" style="791" customWidth="1"/>
    <col min="6917" max="6917" width="20.6640625" style="791" customWidth="1"/>
    <col min="6918" max="6921" width="17.33203125" style="791" customWidth="1"/>
    <col min="6922" max="6922" width="17.44140625" style="791" customWidth="1"/>
    <col min="6923" max="6923" width="14.33203125" style="791" customWidth="1"/>
    <col min="6924" max="6924" width="13.5546875" style="791" customWidth="1"/>
    <col min="6925" max="6925" width="13.109375" style="791" customWidth="1"/>
    <col min="6926" max="6926" width="23.44140625" style="791" bestFit="1" customWidth="1"/>
    <col min="6927" max="7168" width="9.109375" style="791"/>
    <col min="7169" max="7169" width="2" style="791" customWidth="1"/>
    <col min="7170" max="7170" width="5.6640625" style="791" customWidth="1"/>
    <col min="7171" max="7171" width="8.33203125" style="791" customWidth="1"/>
    <col min="7172" max="7172" width="54.6640625" style="791" customWidth="1"/>
    <col min="7173" max="7173" width="20.6640625" style="791" customWidth="1"/>
    <col min="7174" max="7177" width="17.33203125" style="791" customWidth="1"/>
    <col min="7178" max="7178" width="17.44140625" style="791" customWidth="1"/>
    <col min="7179" max="7179" width="14.33203125" style="791" customWidth="1"/>
    <col min="7180" max="7180" width="13.5546875" style="791" customWidth="1"/>
    <col min="7181" max="7181" width="13.109375" style="791" customWidth="1"/>
    <col min="7182" max="7182" width="23.44140625" style="791" bestFit="1" customWidth="1"/>
    <col min="7183" max="7424" width="9.109375" style="791"/>
    <col min="7425" max="7425" width="2" style="791" customWidth="1"/>
    <col min="7426" max="7426" width="5.6640625" style="791" customWidth="1"/>
    <col min="7427" max="7427" width="8.33203125" style="791" customWidth="1"/>
    <col min="7428" max="7428" width="54.6640625" style="791" customWidth="1"/>
    <col min="7429" max="7429" width="20.6640625" style="791" customWidth="1"/>
    <col min="7430" max="7433" width="17.33203125" style="791" customWidth="1"/>
    <col min="7434" max="7434" width="17.44140625" style="791" customWidth="1"/>
    <col min="7435" max="7435" width="14.33203125" style="791" customWidth="1"/>
    <col min="7436" max="7436" width="13.5546875" style="791" customWidth="1"/>
    <col min="7437" max="7437" width="13.109375" style="791" customWidth="1"/>
    <col min="7438" max="7438" width="23.44140625" style="791" bestFit="1" customWidth="1"/>
    <col min="7439" max="7680" width="9.109375" style="791"/>
    <col min="7681" max="7681" width="2" style="791" customWidth="1"/>
    <col min="7682" max="7682" width="5.6640625" style="791" customWidth="1"/>
    <col min="7683" max="7683" width="8.33203125" style="791" customWidth="1"/>
    <col min="7684" max="7684" width="54.6640625" style="791" customWidth="1"/>
    <col min="7685" max="7685" width="20.6640625" style="791" customWidth="1"/>
    <col min="7686" max="7689" width="17.33203125" style="791" customWidth="1"/>
    <col min="7690" max="7690" width="17.44140625" style="791" customWidth="1"/>
    <col min="7691" max="7691" width="14.33203125" style="791" customWidth="1"/>
    <col min="7692" max="7692" width="13.5546875" style="791" customWidth="1"/>
    <col min="7693" max="7693" width="13.109375" style="791" customWidth="1"/>
    <col min="7694" max="7694" width="23.44140625" style="791" bestFit="1" customWidth="1"/>
    <col min="7695" max="7936" width="9.109375" style="791"/>
    <col min="7937" max="7937" width="2" style="791" customWidth="1"/>
    <col min="7938" max="7938" width="5.6640625" style="791" customWidth="1"/>
    <col min="7939" max="7939" width="8.33203125" style="791" customWidth="1"/>
    <col min="7940" max="7940" width="54.6640625" style="791" customWidth="1"/>
    <col min="7941" max="7941" width="20.6640625" style="791" customWidth="1"/>
    <col min="7942" max="7945" width="17.33203125" style="791" customWidth="1"/>
    <col min="7946" max="7946" width="17.44140625" style="791" customWidth="1"/>
    <col min="7947" max="7947" width="14.33203125" style="791" customWidth="1"/>
    <col min="7948" max="7948" width="13.5546875" style="791" customWidth="1"/>
    <col min="7949" max="7949" width="13.109375" style="791" customWidth="1"/>
    <col min="7950" max="7950" width="23.44140625" style="791" bestFit="1" customWidth="1"/>
    <col min="7951" max="8192" width="9.109375" style="791"/>
    <col min="8193" max="8193" width="2" style="791" customWidth="1"/>
    <col min="8194" max="8194" width="5.6640625" style="791" customWidth="1"/>
    <col min="8195" max="8195" width="8.33203125" style="791" customWidth="1"/>
    <col min="8196" max="8196" width="54.6640625" style="791" customWidth="1"/>
    <col min="8197" max="8197" width="20.6640625" style="791" customWidth="1"/>
    <col min="8198" max="8201" width="17.33203125" style="791" customWidth="1"/>
    <col min="8202" max="8202" width="17.44140625" style="791" customWidth="1"/>
    <col min="8203" max="8203" width="14.33203125" style="791" customWidth="1"/>
    <col min="8204" max="8204" width="13.5546875" style="791" customWidth="1"/>
    <col min="8205" max="8205" width="13.109375" style="791" customWidth="1"/>
    <col min="8206" max="8206" width="23.44140625" style="791" bestFit="1" customWidth="1"/>
    <col min="8207" max="8448" width="9.109375" style="791"/>
    <col min="8449" max="8449" width="2" style="791" customWidth="1"/>
    <col min="8450" max="8450" width="5.6640625" style="791" customWidth="1"/>
    <col min="8451" max="8451" width="8.33203125" style="791" customWidth="1"/>
    <col min="8452" max="8452" width="54.6640625" style="791" customWidth="1"/>
    <col min="8453" max="8453" width="20.6640625" style="791" customWidth="1"/>
    <col min="8454" max="8457" width="17.33203125" style="791" customWidth="1"/>
    <col min="8458" max="8458" width="17.44140625" style="791" customWidth="1"/>
    <col min="8459" max="8459" width="14.33203125" style="791" customWidth="1"/>
    <col min="8460" max="8460" width="13.5546875" style="791" customWidth="1"/>
    <col min="8461" max="8461" width="13.109375" style="791" customWidth="1"/>
    <col min="8462" max="8462" width="23.44140625" style="791" bestFit="1" customWidth="1"/>
    <col min="8463" max="8704" width="9.109375" style="791"/>
    <col min="8705" max="8705" width="2" style="791" customWidth="1"/>
    <col min="8706" max="8706" width="5.6640625" style="791" customWidth="1"/>
    <col min="8707" max="8707" width="8.33203125" style="791" customWidth="1"/>
    <col min="8708" max="8708" width="54.6640625" style="791" customWidth="1"/>
    <col min="8709" max="8709" width="20.6640625" style="791" customWidth="1"/>
    <col min="8710" max="8713" width="17.33203125" style="791" customWidth="1"/>
    <col min="8714" max="8714" width="17.44140625" style="791" customWidth="1"/>
    <col min="8715" max="8715" width="14.33203125" style="791" customWidth="1"/>
    <col min="8716" max="8716" width="13.5546875" style="791" customWidth="1"/>
    <col min="8717" max="8717" width="13.109375" style="791" customWidth="1"/>
    <col min="8718" max="8718" width="23.44140625" style="791" bestFit="1" customWidth="1"/>
    <col min="8719" max="8960" width="9.109375" style="791"/>
    <col min="8961" max="8961" width="2" style="791" customWidth="1"/>
    <col min="8962" max="8962" width="5.6640625" style="791" customWidth="1"/>
    <col min="8963" max="8963" width="8.33203125" style="791" customWidth="1"/>
    <col min="8964" max="8964" width="54.6640625" style="791" customWidth="1"/>
    <col min="8965" max="8965" width="20.6640625" style="791" customWidth="1"/>
    <col min="8966" max="8969" width="17.33203125" style="791" customWidth="1"/>
    <col min="8970" max="8970" width="17.44140625" style="791" customWidth="1"/>
    <col min="8971" max="8971" width="14.33203125" style="791" customWidth="1"/>
    <col min="8972" max="8972" width="13.5546875" style="791" customWidth="1"/>
    <col min="8973" max="8973" width="13.109375" style="791" customWidth="1"/>
    <col min="8974" max="8974" width="23.44140625" style="791" bestFit="1" customWidth="1"/>
    <col min="8975" max="9216" width="9.109375" style="791"/>
    <col min="9217" max="9217" width="2" style="791" customWidth="1"/>
    <col min="9218" max="9218" width="5.6640625" style="791" customWidth="1"/>
    <col min="9219" max="9219" width="8.33203125" style="791" customWidth="1"/>
    <col min="9220" max="9220" width="54.6640625" style="791" customWidth="1"/>
    <col min="9221" max="9221" width="20.6640625" style="791" customWidth="1"/>
    <col min="9222" max="9225" width="17.33203125" style="791" customWidth="1"/>
    <col min="9226" max="9226" width="17.44140625" style="791" customWidth="1"/>
    <col min="9227" max="9227" width="14.33203125" style="791" customWidth="1"/>
    <col min="9228" max="9228" width="13.5546875" style="791" customWidth="1"/>
    <col min="9229" max="9229" width="13.109375" style="791" customWidth="1"/>
    <col min="9230" max="9230" width="23.44140625" style="791" bestFit="1" customWidth="1"/>
    <col min="9231" max="9472" width="9.109375" style="791"/>
    <col min="9473" max="9473" width="2" style="791" customWidth="1"/>
    <col min="9474" max="9474" width="5.6640625" style="791" customWidth="1"/>
    <col min="9475" max="9475" width="8.33203125" style="791" customWidth="1"/>
    <col min="9476" max="9476" width="54.6640625" style="791" customWidth="1"/>
    <col min="9477" max="9477" width="20.6640625" style="791" customWidth="1"/>
    <col min="9478" max="9481" width="17.33203125" style="791" customWidth="1"/>
    <col min="9482" max="9482" width="17.44140625" style="791" customWidth="1"/>
    <col min="9483" max="9483" width="14.33203125" style="791" customWidth="1"/>
    <col min="9484" max="9484" width="13.5546875" style="791" customWidth="1"/>
    <col min="9485" max="9485" width="13.109375" style="791" customWidth="1"/>
    <col min="9486" max="9486" width="23.44140625" style="791" bestFit="1" customWidth="1"/>
    <col min="9487" max="9728" width="9.109375" style="791"/>
    <col min="9729" max="9729" width="2" style="791" customWidth="1"/>
    <col min="9730" max="9730" width="5.6640625" style="791" customWidth="1"/>
    <col min="9731" max="9731" width="8.33203125" style="791" customWidth="1"/>
    <col min="9732" max="9732" width="54.6640625" style="791" customWidth="1"/>
    <col min="9733" max="9733" width="20.6640625" style="791" customWidth="1"/>
    <col min="9734" max="9737" width="17.33203125" style="791" customWidth="1"/>
    <col min="9738" max="9738" width="17.44140625" style="791" customWidth="1"/>
    <col min="9739" max="9739" width="14.33203125" style="791" customWidth="1"/>
    <col min="9740" max="9740" width="13.5546875" style="791" customWidth="1"/>
    <col min="9741" max="9741" width="13.109375" style="791" customWidth="1"/>
    <col min="9742" max="9742" width="23.44140625" style="791" bestFit="1" customWidth="1"/>
    <col min="9743" max="9984" width="9.109375" style="791"/>
    <col min="9985" max="9985" width="2" style="791" customWidth="1"/>
    <col min="9986" max="9986" width="5.6640625" style="791" customWidth="1"/>
    <col min="9987" max="9987" width="8.33203125" style="791" customWidth="1"/>
    <col min="9988" max="9988" width="54.6640625" style="791" customWidth="1"/>
    <col min="9989" max="9989" width="20.6640625" style="791" customWidth="1"/>
    <col min="9990" max="9993" width="17.33203125" style="791" customWidth="1"/>
    <col min="9994" max="9994" width="17.44140625" style="791" customWidth="1"/>
    <col min="9995" max="9995" width="14.33203125" style="791" customWidth="1"/>
    <col min="9996" max="9996" width="13.5546875" style="791" customWidth="1"/>
    <col min="9997" max="9997" width="13.109375" style="791" customWidth="1"/>
    <col min="9998" max="9998" width="23.44140625" style="791" bestFit="1" customWidth="1"/>
    <col min="9999" max="10240" width="9.109375" style="791"/>
    <col min="10241" max="10241" width="2" style="791" customWidth="1"/>
    <col min="10242" max="10242" width="5.6640625" style="791" customWidth="1"/>
    <col min="10243" max="10243" width="8.33203125" style="791" customWidth="1"/>
    <col min="10244" max="10244" width="54.6640625" style="791" customWidth="1"/>
    <col min="10245" max="10245" width="20.6640625" style="791" customWidth="1"/>
    <col min="10246" max="10249" width="17.33203125" style="791" customWidth="1"/>
    <col min="10250" max="10250" width="17.44140625" style="791" customWidth="1"/>
    <col min="10251" max="10251" width="14.33203125" style="791" customWidth="1"/>
    <col min="10252" max="10252" width="13.5546875" style="791" customWidth="1"/>
    <col min="10253" max="10253" width="13.109375" style="791" customWidth="1"/>
    <col min="10254" max="10254" width="23.44140625" style="791" bestFit="1" customWidth="1"/>
    <col min="10255" max="10496" width="9.109375" style="791"/>
    <col min="10497" max="10497" width="2" style="791" customWidth="1"/>
    <col min="10498" max="10498" width="5.6640625" style="791" customWidth="1"/>
    <col min="10499" max="10499" width="8.33203125" style="791" customWidth="1"/>
    <col min="10500" max="10500" width="54.6640625" style="791" customWidth="1"/>
    <col min="10501" max="10501" width="20.6640625" style="791" customWidth="1"/>
    <col min="10502" max="10505" width="17.33203125" style="791" customWidth="1"/>
    <col min="10506" max="10506" width="17.44140625" style="791" customWidth="1"/>
    <col min="10507" max="10507" width="14.33203125" style="791" customWidth="1"/>
    <col min="10508" max="10508" width="13.5546875" style="791" customWidth="1"/>
    <col min="10509" max="10509" width="13.109375" style="791" customWidth="1"/>
    <col min="10510" max="10510" width="23.44140625" style="791" bestFit="1" customWidth="1"/>
    <col min="10511" max="10752" width="9.109375" style="791"/>
    <col min="10753" max="10753" width="2" style="791" customWidth="1"/>
    <col min="10754" max="10754" width="5.6640625" style="791" customWidth="1"/>
    <col min="10755" max="10755" width="8.33203125" style="791" customWidth="1"/>
    <col min="10756" max="10756" width="54.6640625" style="791" customWidth="1"/>
    <col min="10757" max="10757" width="20.6640625" style="791" customWidth="1"/>
    <col min="10758" max="10761" width="17.33203125" style="791" customWidth="1"/>
    <col min="10762" max="10762" width="17.44140625" style="791" customWidth="1"/>
    <col min="10763" max="10763" width="14.33203125" style="791" customWidth="1"/>
    <col min="10764" max="10764" width="13.5546875" style="791" customWidth="1"/>
    <col min="10765" max="10765" width="13.109375" style="791" customWidth="1"/>
    <col min="10766" max="10766" width="23.44140625" style="791" bestFit="1" customWidth="1"/>
    <col min="10767" max="11008" width="9.109375" style="791"/>
    <col min="11009" max="11009" width="2" style="791" customWidth="1"/>
    <col min="11010" max="11010" width="5.6640625" style="791" customWidth="1"/>
    <col min="11011" max="11011" width="8.33203125" style="791" customWidth="1"/>
    <col min="11012" max="11012" width="54.6640625" style="791" customWidth="1"/>
    <col min="11013" max="11013" width="20.6640625" style="791" customWidth="1"/>
    <col min="11014" max="11017" width="17.33203125" style="791" customWidth="1"/>
    <col min="11018" max="11018" width="17.44140625" style="791" customWidth="1"/>
    <col min="11019" max="11019" width="14.33203125" style="791" customWidth="1"/>
    <col min="11020" max="11020" width="13.5546875" style="791" customWidth="1"/>
    <col min="11021" max="11021" width="13.109375" style="791" customWidth="1"/>
    <col min="11022" max="11022" width="23.44140625" style="791" bestFit="1" customWidth="1"/>
    <col min="11023" max="11264" width="9.109375" style="791"/>
    <col min="11265" max="11265" width="2" style="791" customWidth="1"/>
    <col min="11266" max="11266" width="5.6640625" style="791" customWidth="1"/>
    <col min="11267" max="11267" width="8.33203125" style="791" customWidth="1"/>
    <col min="11268" max="11268" width="54.6640625" style="791" customWidth="1"/>
    <col min="11269" max="11269" width="20.6640625" style="791" customWidth="1"/>
    <col min="11270" max="11273" width="17.33203125" style="791" customWidth="1"/>
    <col min="11274" max="11274" width="17.44140625" style="791" customWidth="1"/>
    <col min="11275" max="11275" width="14.33203125" style="791" customWidth="1"/>
    <col min="11276" max="11276" width="13.5546875" style="791" customWidth="1"/>
    <col min="11277" max="11277" width="13.109375" style="791" customWidth="1"/>
    <col min="11278" max="11278" width="23.44140625" style="791" bestFit="1" customWidth="1"/>
    <col min="11279" max="11520" width="9.109375" style="791"/>
    <col min="11521" max="11521" width="2" style="791" customWidth="1"/>
    <col min="11522" max="11522" width="5.6640625" style="791" customWidth="1"/>
    <col min="11523" max="11523" width="8.33203125" style="791" customWidth="1"/>
    <col min="11524" max="11524" width="54.6640625" style="791" customWidth="1"/>
    <col min="11525" max="11525" width="20.6640625" style="791" customWidth="1"/>
    <col min="11526" max="11529" width="17.33203125" style="791" customWidth="1"/>
    <col min="11530" max="11530" width="17.44140625" style="791" customWidth="1"/>
    <col min="11531" max="11531" width="14.33203125" style="791" customWidth="1"/>
    <col min="11532" max="11532" width="13.5546875" style="791" customWidth="1"/>
    <col min="11533" max="11533" width="13.109375" style="791" customWidth="1"/>
    <col min="11534" max="11534" width="23.44140625" style="791" bestFit="1" customWidth="1"/>
    <col min="11535" max="11776" width="9.109375" style="791"/>
    <col min="11777" max="11777" width="2" style="791" customWidth="1"/>
    <col min="11778" max="11778" width="5.6640625" style="791" customWidth="1"/>
    <col min="11779" max="11779" width="8.33203125" style="791" customWidth="1"/>
    <col min="11780" max="11780" width="54.6640625" style="791" customWidth="1"/>
    <col min="11781" max="11781" width="20.6640625" style="791" customWidth="1"/>
    <col min="11782" max="11785" width="17.33203125" style="791" customWidth="1"/>
    <col min="11786" max="11786" width="17.44140625" style="791" customWidth="1"/>
    <col min="11787" max="11787" width="14.33203125" style="791" customWidth="1"/>
    <col min="11788" max="11788" width="13.5546875" style="791" customWidth="1"/>
    <col min="11789" max="11789" width="13.109375" style="791" customWidth="1"/>
    <col min="11790" max="11790" width="23.44140625" style="791" bestFit="1" customWidth="1"/>
    <col min="11791" max="12032" width="9.109375" style="791"/>
    <col min="12033" max="12033" width="2" style="791" customWidth="1"/>
    <col min="12034" max="12034" width="5.6640625" style="791" customWidth="1"/>
    <col min="12035" max="12035" width="8.33203125" style="791" customWidth="1"/>
    <col min="12036" max="12036" width="54.6640625" style="791" customWidth="1"/>
    <col min="12037" max="12037" width="20.6640625" style="791" customWidth="1"/>
    <col min="12038" max="12041" width="17.33203125" style="791" customWidth="1"/>
    <col min="12042" max="12042" width="17.44140625" style="791" customWidth="1"/>
    <col min="12043" max="12043" width="14.33203125" style="791" customWidth="1"/>
    <col min="12044" max="12044" width="13.5546875" style="791" customWidth="1"/>
    <col min="12045" max="12045" width="13.109375" style="791" customWidth="1"/>
    <col min="12046" max="12046" width="23.44140625" style="791" bestFit="1" customWidth="1"/>
    <col min="12047" max="12288" width="9.109375" style="791"/>
    <col min="12289" max="12289" width="2" style="791" customWidth="1"/>
    <col min="12290" max="12290" width="5.6640625" style="791" customWidth="1"/>
    <col min="12291" max="12291" width="8.33203125" style="791" customWidth="1"/>
    <col min="12292" max="12292" width="54.6640625" style="791" customWidth="1"/>
    <col min="12293" max="12293" width="20.6640625" style="791" customWidth="1"/>
    <col min="12294" max="12297" width="17.33203125" style="791" customWidth="1"/>
    <col min="12298" max="12298" width="17.44140625" style="791" customWidth="1"/>
    <col min="12299" max="12299" width="14.33203125" style="791" customWidth="1"/>
    <col min="12300" max="12300" width="13.5546875" style="791" customWidth="1"/>
    <col min="12301" max="12301" width="13.109375" style="791" customWidth="1"/>
    <col min="12302" max="12302" width="23.44140625" style="791" bestFit="1" customWidth="1"/>
    <col min="12303" max="12544" width="9.109375" style="791"/>
    <col min="12545" max="12545" width="2" style="791" customWidth="1"/>
    <col min="12546" max="12546" width="5.6640625" style="791" customWidth="1"/>
    <col min="12547" max="12547" width="8.33203125" style="791" customWidth="1"/>
    <col min="12548" max="12548" width="54.6640625" style="791" customWidth="1"/>
    <col min="12549" max="12549" width="20.6640625" style="791" customWidth="1"/>
    <col min="12550" max="12553" width="17.33203125" style="791" customWidth="1"/>
    <col min="12554" max="12554" width="17.44140625" style="791" customWidth="1"/>
    <col min="12555" max="12555" width="14.33203125" style="791" customWidth="1"/>
    <col min="12556" max="12556" width="13.5546875" style="791" customWidth="1"/>
    <col min="12557" max="12557" width="13.109375" style="791" customWidth="1"/>
    <col min="12558" max="12558" width="23.44140625" style="791" bestFit="1" customWidth="1"/>
    <col min="12559" max="12800" width="9.109375" style="791"/>
    <col min="12801" max="12801" width="2" style="791" customWidth="1"/>
    <col min="12802" max="12802" width="5.6640625" style="791" customWidth="1"/>
    <col min="12803" max="12803" width="8.33203125" style="791" customWidth="1"/>
    <col min="12804" max="12804" width="54.6640625" style="791" customWidth="1"/>
    <col min="12805" max="12805" width="20.6640625" style="791" customWidth="1"/>
    <col min="12806" max="12809" width="17.33203125" style="791" customWidth="1"/>
    <col min="12810" max="12810" width="17.44140625" style="791" customWidth="1"/>
    <col min="12811" max="12811" width="14.33203125" style="791" customWidth="1"/>
    <col min="12812" max="12812" width="13.5546875" style="791" customWidth="1"/>
    <col min="12813" max="12813" width="13.109375" style="791" customWidth="1"/>
    <col min="12814" max="12814" width="23.44140625" style="791" bestFit="1" customWidth="1"/>
    <col min="12815" max="13056" width="9.109375" style="791"/>
    <col min="13057" max="13057" width="2" style="791" customWidth="1"/>
    <col min="13058" max="13058" width="5.6640625" style="791" customWidth="1"/>
    <col min="13059" max="13059" width="8.33203125" style="791" customWidth="1"/>
    <col min="13060" max="13060" width="54.6640625" style="791" customWidth="1"/>
    <col min="13061" max="13061" width="20.6640625" style="791" customWidth="1"/>
    <col min="13062" max="13065" width="17.33203125" style="791" customWidth="1"/>
    <col min="13066" max="13066" width="17.44140625" style="791" customWidth="1"/>
    <col min="13067" max="13067" width="14.33203125" style="791" customWidth="1"/>
    <col min="13068" max="13068" width="13.5546875" style="791" customWidth="1"/>
    <col min="13069" max="13069" width="13.109375" style="791" customWidth="1"/>
    <col min="13070" max="13070" width="23.44140625" style="791" bestFit="1" customWidth="1"/>
    <col min="13071" max="13312" width="9.109375" style="791"/>
    <col min="13313" max="13313" width="2" style="791" customWidth="1"/>
    <col min="13314" max="13314" width="5.6640625" style="791" customWidth="1"/>
    <col min="13315" max="13315" width="8.33203125" style="791" customWidth="1"/>
    <col min="13316" max="13316" width="54.6640625" style="791" customWidth="1"/>
    <col min="13317" max="13317" width="20.6640625" style="791" customWidth="1"/>
    <col min="13318" max="13321" width="17.33203125" style="791" customWidth="1"/>
    <col min="13322" max="13322" width="17.44140625" style="791" customWidth="1"/>
    <col min="13323" max="13323" width="14.33203125" style="791" customWidth="1"/>
    <col min="13324" max="13324" width="13.5546875" style="791" customWidth="1"/>
    <col min="13325" max="13325" width="13.109375" style="791" customWidth="1"/>
    <col min="13326" max="13326" width="23.44140625" style="791" bestFit="1" customWidth="1"/>
    <col min="13327" max="13568" width="9.109375" style="791"/>
    <col min="13569" max="13569" width="2" style="791" customWidth="1"/>
    <col min="13570" max="13570" width="5.6640625" style="791" customWidth="1"/>
    <col min="13571" max="13571" width="8.33203125" style="791" customWidth="1"/>
    <col min="13572" max="13572" width="54.6640625" style="791" customWidth="1"/>
    <col min="13573" max="13573" width="20.6640625" style="791" customWidth="1"/>
    <col min="13574" max="13577" width="17.33203125" style="791" customWidth="1"/>
    <col min="13578" max="13578" width="17.44140625" style="791" customWidth="1"/>
    <col min="13579" max="13579" width="14.33203125" style="791" customWidth="1"/>
    <col min="13580" max="13580" width="13.5546875" style="791" customWidth="1"/>
    <col min="13581" max="13581" width="13.109375" style="791" customWidth="1"/>
    <col min="13582" max="13582" width="23.44140625" style="791" bestFit="1" customWidth="1"/>
    <col min="13583" max="13824" width="9.109375" style="791"/>
    <col min="13825" max="13825" width="2" style="791" customWidth="1"/>
    <col min="13826" max="13826" width="5.6640625" style="791" customWidth="1"/>
    <col min="13827" max="13827" width="8.33203125" style="791" customWidth="1"/>
    <col min="13828" max="13828" width="54.6640625" style="791" customWidth="1"/>
    <col min="13829" max="13829" width="20.6640625" style="791" customWidth="1"/>
    <col min="13830" max="13833" width="17.33203125" style="791" customWidth="1"/>
    <col min="13834" max="13834" width="17.44140625" style="791" customWidth="1"/>
    <col min="13835" max="13835" width="14.33203125" style="791" customWidth="1"/>
    <col min="13836" max="13836" width="13.5546875" style="791" customWidth="1"/>
    <col min="13837" max="13837" width="13.109375" style="791" customWidth="1"/>
    <col min="13838" max="13838" width="23.44140625" style="791" bestFit="1" customWidth="1"/>
    <col min="13839" max="14080" width="9.109375" style="791"/>
    <col min="14081" max="14081" width="2" style="791" customWidth="1"/>
    <col min="14082" max="14082" width="5.6640625" style="791" customWidth="1"/>
    <col min="14083" max="14083" width="8.33203125" style="791" customWidth="1"/>
    <col min="14084" max="14084" width="54.6640625" style="791" customWidth="1"/>
    <col min="14085" max="14085" width="20.6640625" style="791" customWidth="1"/>
    <col min="14086" max="14089" width="17.33203125" style="791" customWidth="1"/>
    <col min="14090" max="14090" width="17.44140625" style="791" customWidth="1"/>
    <col min="14091" max="14091" width="14.33203125" style="791" customWidth="1"/>
    <col min="14092" max="14092" width="13.5546875" style="791" customWidth="1"/>
    <col min="14093" max="14093" width="13.109375" style="791" customWidth="1"/>
    <col min="14094" max="14094" width="23.44140625" style="791" bestFit="1" customWidth="1"/>
    <col min="14095" max="14336" width="9.109375" style="791"/>
    <col min="14337" max="14337" width="2" style="791" customWidth="1"/>
    <col min="14338" max="14338" width="5.6640625" style="791" customWidth="1"/>
    <col min="14339" max="14339" width="8.33203125" style="791" customWidth="1"/>
    <col min="14340" max="14340" width="54.6640625" style="791" customWidth="1"/>
    <col min="14341" max="14341" width="20.6640625" style="791" customWidth="1"/>
    <col min="14342" max="14345" width="17.33203125" style="791" customWidth="1"/>
    <col min="14346" max="14346" width="17.44140625" style="791" customWidth="1"/>
    <col min="14347" max="14347" width="14.33203125" style="791" customWidth="1"/>
    <col min="14348" max="14348" width="13.5546875" style="791" customWidth="1"/>
    <col min="14349" max="14349" width="13.109375" style="791" customWidth="1"/>
    <col min="14350" max="14350" width="23.44140625" style="791" bestFit="1" customWidth="1"/>
    <col min="14351" max="14592" width="9.109375" style="791"/>
    <col min="14593" max="14593" width="2" style="791" customWidth="1"/>
    <col min="14594" max="14594" width="5.6640625" style="791" customWidth="1"/>
    <col min="14595" max="14595" width="8.33203125" style="791" customWidth="1"/>
    <col min="14596" max="14596" width="54.6640625" style="791" customWidth="1"/>
    <col min="14597" max="14597" width="20.6640625" style="791" customWidth="1"/>
    <col min="14598" max="14601" width="17.33203125" style="791" customWidth="1"/>
    <col min="14602" max="14602" width="17.44140625" style="791" customWidth="1"/>
    <col min="14603" max="14603" width="14.33203125" style="791" customWidth="1"/>
    <col min="14604" max="14604" width="13.5546875" style="791" customWidth="1"/>
    <col min="14605" max="14605" width="13.109375" style="791" customWidth="1"/>
    <col min="14606" max="14606" width="23.44140625" style="791" bestFit="1" customWidth="1"/>
    <col min="14607" max="14848" width="9.109375" style="791"/>
    <col min="14849" max="14849" width="2" style="791" customWidth="1"/>
    <col min="14850" max="14850" width="5.6640625" style="791" customWidth="1"/>
    <col min="14851" max="14851" width="8.33203125" style="791" customWidth="1"/>
    <col min="14852" max="14852" width="54.6640625" style="791" customWidth="1"/>
    <col min="14853" max="14853" width="20.6640625" style="791" customWidth="1"/>
    <col min="14854" max="14857" width="17.33203125" style="791" customWidth="1"/>
    <col min="14858" max="14858" width="17.44140625" style="791" customWidth="1"/>
    <col min="14859" max="14859" width="14.33203125" style="791" customWidth="1"/>
    <col min="14860" max="14860" width="13.5546875" style="791" customWidth="1"/>
    <col min="14861" max="14861" width="13.109375" style="791" customWidth="1"/>
    <col min="14862" max="14862" width="23.44140625" style="791" bestFit="1" customWidth="1"/>
    <col min="14863" max="15104" width="9.109375" style="791"/>
    <col min="15105" max="15105" width="2" style="791" customWidth="1"/>
    <col min="15106" max="15106" width="5.6640625" style="791" customWidth="1"/>
    <col min="15107" max="15107" width="8.33203125" style="791" customWidth="1"/>
    <col min="15108" max="15108" width="54.6640625" style="791" customWidth="1"/>
    <col min="15109" max="15109" width="20.6640625" style="791" customWidth="1"/>
    <col min="15110" max="15113" width="17.33203125" style="791" customWidth="1"/>
    <col min="15114" max="15114" width="17.44140625" style="791" customWidth="1"/>
    <col min="15115" max="15115" width="14.33203125" style="791" customWidth="1"/>
    <col min="15116" max="15116" width="13.5546875" style="791" customWidth="1"/>
    <col min="15117" max="15117" width="13.109375" style="791" customWidth="1"/>
    <col min="15118" max="15118" width="23.44140625" style="791" bestFit="1" customWidth="1"/>
    <col min="15119" max="15360" width="9.109375" style="791"/>
    <col min="15361" max="15361" width="2" style="791" customWidth="1"/>
    <col min="15362" max="15362" width="5.6640625" style="791" customWidth="1"/>
    <col min="15363" max="15363" width="8.33203125" style="791" customWidth="1"/>
    <col min="15364" max="15364" width="54.6640625" style="791" customWidth="1"/>
    <col min="15365" max="15365" width="20.6640625" style="791" customWidth="1"/>
    <col min="15366" max="15369" width="17.33203125" style="791" customWidth="1"/>
    <col min="15370" max="15370" width="17.44140625" style="791" customWidth="1"/>
    <col min="15371" max="15371" width="14.33203125" style="791" customWidth="1"/>
    <col min="15372" max="15372" width="13.5546875" style="791" customWidth="1"/>
    <col min="15373" max="15373" width="13.109375" style="791" customWidth="1"/>
    <col min="15374" max="15374" width="23.44140625" style="791" bestFit="1" customWidth="1"/>
    <col min="15375" max="15616" width="9.109375" style="791"/>
    <col min="15617" max="15617" width="2" style="791" customWidth="1"/>
    <col min="15618" max="15618" width="5.6640625" style="791" customWidth="1"/>
    <col min="15619" max="15619" width="8.33203125" style="791" customWidth="1"/>
    <col min="15620" max="15620" width="54.6640625" style="791" customWidth="1"/>
    <col min="15621" max="15621" width="20.6640625" style="791" customWidth="1"/>
    <col min="15622" max="15625" width="17.33203125" style="791" customWidth="1"/>
    <col min="15626" max="15626" width="17.44140625" style="791" customWidth="1"/>
    <col min="15627" max="15627" width="14.33203125" style="791" customWidth="1"/>
    <col min="15628" max="15628" width="13.5546875" style="791" customWidth="1"/>
    <col min="15629" max="15629" width="13.109375" style="791" customWidth="1"/>
    <col min="15630" max="15630" width="23.44140625" style="791" bestFit="1" customWidth="1"/>
    <col min="15631" max="15872" width="9.109375" style="791"/>
    <col min="15873" max="15873" width="2" style="791" customWidth="1"/>
    <col min="15874" max="15874" width="5.6640625" style="791" customWidth="1"/>
    <col min="15875" max="15875" width="8.33203125" style="791" customWidth="1"/>
    <col min="15876" max="15876" width="54.6640625" style="791" customWidth="1"/>
    <col min="15877" max="15877" width="20.6640625" style="791" customWidth="1"/>
    <col min="15878" max="15881" width="17.33203125" style="791" customWidth="1"/>
    <col min="15882" max="15882" width="17.44140625" style="791" customWidth="1"/>
    <col min="15883" max="15883" width="14.33203125" style="791" customWidth="1"/>
    <col min="15884" max="15884" width="13.5546875" style="791" customWidth="1"/>
    <col min="15885" max="15885" width="13.109375" style="791" customWidth="1"/>
    <col min="15886" max="15886" width="23.44140625" style="791" bestFit="1" customWidth="1"/>
    <col min="15887" max="16128" width="9.109375" style="791"/>
    <col min="16129" max="16129" width="2" style="791" customWidth="1"/>
    <col min="16130" max="16130" width="5.6640625" style="791" customWidth="1"/>
    <col min="16131" max="16131" width="8.33203125" style="791" customWidth="1"/>
    <col min="16132" max="16132" width="54.6640625" style="791" customWidth="1"/>
    <col min="16133" max="16133" width="20.6640625" style="791" customWidth="1"/>
    <col min="16134" max="16137" width="17.33203125" style="791" customWidth="1"/>
    <col min="16138" max="16138" width="17.44140625" style="791" customWidth="1"/>
    <col min="16139" max="16139" width="14.33203125" style="791" customWidth="1"/>
    <col min="16140" max="16140" width="13.5546875" style="791" customWidth="1"/>
    <col min="16141" max="16141" width="13.109375" style="791" customWidth="1"/>
    <col min="16142" max="16142" width="23.44140625" style="791" bestFit="1" customWidth="1"/>
    <col min="16143" max="16384" width="9.109375" style="791"/>
  </cols>
  <sheetData>
    <row r="1" spans="2:14" ht="20.399999999999999">
      <c r="B1" s="944" t="s">
        <v>1495</v>
      </c>
      <c r="C1" s="944"/>
      <c r="D1" s="956"/>
      <c r="E1" s="956"/>
      <c r="F1" s="956"/>
      <c r="G1" s="956"/>
      <c r="H1" s="956"/>
      <c r="I1" s="956"/>
      <c r="J1" s="956"/>
      <c r="K1" s="956"/>
      <c r="L1" s="956"/>
      <c r="M1" s="956"/>
      <c r="N1" s="956"/>
    </row>
    <row r="2" spans="2:14" ht="19.2">
      <c r="B2" s="957" t="str">
        <f>Inputs!B2</f>
        <v>(For Rate Year Beginning April 1, 2026, Based on December 31, 2025 Data)</v>
      </c>
      <c r="C2" s="957"/>
      <c r="D2" s="957"/>
      <c r="E2" s="957"/>
      <c r="F2" s="957"/>
      <c r="G2" s="957"/>
      <c r="H2" s="957"/>
      <c r="I2" s="957"/>
      <c r="J2" s="957"/>
      <c r="K2" s="959"/>
      <c r="L2" s="959"/>
      <c r="M2" s="959"/>
      <c r="N2" s="959"/>
    </row>
    <row r="3" spans="2:14" ht="8.1" customHeight="1">
      <c r="B3" s="169"/>
      <c r="C3" s="168"/>
      <c r="D3" s="170"/>
      <c r="E3" s="170"/>
      <c r="F3" s="170"/>
      <c r="G3" s="170"/>
      <c r="H3" s="170"/>
      <c r="I3" s="170"/>
      <c r="J3" s="170"/>
      <c r="K3" s="170"/>
      <c r="L3" s="170"/>
      <c r="M3" s="170"/>
      <c r="N3" s="170"/>
    </row>
    <row r="4" spans="2:14" ht="14.4">
      <c r="B4" s="169"/>
      <c r="C4" s="168"/>
      <c r="D4" s="171"/>
      <c r="E4" s="744" t="s">
        <v>533</v>
      </c>
      <c r="F4" s="744" t="s">
        <v>534</v>
      </c>
      <c r="G4" s="744" t="s">
        <v>535</v>
      </c>
      <c r="H4" s="744" t="s">
        <v>536</v>
      </c>
      <c r="I4" s="744" t="s">
        <v>537</v>
      </c>
      <c r="J4" s="744" t="s">
        <v>538</v>
      </c>
      <c r="K4" s="744" t="s">
        <v>539</v>
      </c>
      <c r="L4" s="744" t="s">
        <v>1281</v>
      </c>
      <c r="M4" s="744" t="s">
        <v>1282</v>
      </c>
      <c r="N4" s="744" t="s">
        <v>1288</v>
      </c>
    </row>
    <row r="5" spans="2:14" ht="15" customHeight="1">
      <c r="B5" s="169"/>
      <c r="C5" s="168"/>
      <c r="D5" s="170"/>
      <c r="E5" s="966" t="s">
        <v>1496</v>
      </c>
      <c r="F5" s="968" t="s">
        <v>325</v>
      </c>
      <c r="G5" s="968" t="s">
        <v>326</v>
      </c>
      <c r="H5" s="971" t="s">
        <v>1283</v>
      </c>
      <c r="I5" s="971" t="s">
        <v>1284</v>
      </c>
      <c r="J5" s="966" t="s">
        <v>1351</v>
      </c>
      <c r="K5" s="966" t="s">
        <v>1352</v>
      </c>
      <c r="L5" s="966" t="s">
        <v>1353</v>
      </c>
      <c r="M5" s="966" t="s">
        <v>1354</v>
      </c>
      <c r="N5" s="966" t="s">
        <v>257</v>
      </c>
    </row>
    <row r="6" spans="2:14" ht="13.8">
      <c r="B6" s="169"/>
      <c r="C6" s="168"/>
      <c r="D6" s="170"/>
      <c r="E6" s="966"/>
      <c r="F6" s="969"/>
      <c r="G6" s="969"/>
      <c r="H6" s="971"/>
      <c r="I6" s="971"/>
      <c r="J6" s="966"/>
      <c r="K6" s="966"/>
      <c r="L6" s="966"/>
      <c r="M6" s="966"/>
      <c r="N6" s="966"/>
    </row>
    <row r="7" spans="2:14" ht="13.8">
      <c r="B7" s="792" t="s">
        <v>244</v>
      </c>
      <c r="C7" s="792" t="s">
        <v>61</v>
      </c>
      <c r="D7" s="792" t="s">
        <v>543</v>
      </c>
      <c r="E7" s="967"/>
      <c r="F7" s="970"/>
      <c r="G7" s="970"/>
      <c r="H7" s="972"/>
      <c r="I7" s="972"/>
      <c r="J7" s="967"/>
      <c r="K7" s="967"/>
      <c r="L7" s="967"/>
      <c r="M7" s="967"/>
      <c r="N7" s="967"/>
    </row>
    <row r="8" spans="2:14" ht="13.8">
      <c r="B8" s="251">
        <v>1</v>
      </c>
      <c r="C8" s="793">
        <v>182.3</v>
      </c>
      <c r="D8" s="794" t="str">
        <f>+'1.5.1b-EDIT Remeasure '!D20</f>
        <v>Net Operating Loss</v>
      </c>
      <c r="E8" s="175">
        <f>'1.5.2a-Tax Change RBAM'!H8</f>
        <v>0</v>
      </c>
      <c r="F8" s="389"/>
      <c r="G8" s="389"/>
      <c r="H8" s="389">
        <f>+E8</f>
        <v>0</v>
      </c>
      <c r="I8" s="389"/>
      <c r="J8" s="834"/>
      <c r="K8" s="840"/>
      <c r="L8" s="387"/>
      <c r="M8" s="387"/>
      <c r="N8" s="388"/>
    </row>
    <row r="9" spans="2:14" ht="13.8">
      <c r="B9" s="251">
        <f t="shared" ref="B9:B72" si="0">B8+1</f>
        <v>2</v>
      </c>
      <c r="C9" s="793">
        <v>182.3</v>
      </c>
      <c r="D9" s="794" t="str">
        <f>+'1.5.1b-EDIT Remeasure '!D21</f>
        <v>Non-jurisdictional (SD Gas, NE Gas)</v>
      </c>
      <c r="E9" s="175">
        <f>'1.5.2a-Tax Change RBAM'!H9</f>
        <v>0</v>
      </c>
      <c r="F9" s="389">
        <f>+E9</f>
        <v>0</v>
      </c>
      <c r="G9" s="389"/>
      <c r="H9" s="389"/>
      <c r="I9" s="389"/>
      <c r="J9" s="834"/>
      <c r="K9" s="840"/>
      <c r="L9" s="387"/>
      <c r="M9" s="387"/>
      <c r="N9" s="388"/>
    </row>
    <row r="10" spans="2:14" ht="13.8">
      <c r="B10" s="251">
        <f t="shared" si="0"/>
        <v>3</v>
      </c>
      <c r="C10" s="387"/>
      <c r="D10" s="388"/>
      <c r="E10" s="175">
        <f>'1.5.2a-Tax Change RBAM'!H10</f>
        <v>0</v>
      </c>
      <c r="F10" s="389"/>
      <c r="G10" s="389"/>
      <c r="H10" s="389"/>
      <c r="I10" s="389"/>
      <c r="J10" s="834"/>
      <c r="K10" s="840"/>
      <c r="L10" s="387"/>
      <c r="M10" s="387"/>
      <c r="N10" s="388"/>
    </row>
    <row r="11" spans="2:14" ht="13.8">
      <c r="B11" s="251">
        <f t="shared" si="0"/>
        <v>4</v>
      </c>
      <c r="C11" s="387"/>
      <c r="D11" s="388"/>
      <c r="E11" s="175">
        <f>'1.5.2a-Tax Change RBAM'!H11</f>
        <v>0</v>
      </c>
      <c r="F11" s="389"/>
      <c r="G11" s="389"/>
      <c r="H11" s="389"/>
      <c r="I11" s="389"/>
      <c r="J11" s="834"/>
      <c r="K11" s="840"/>
      <c r="L11" s="387"/>
      <c r="M11" s="387"/>
      <c r="N11" s="388"/>
    </row>
    <row r="12" spans="2:14" ht="13.8">
      <c r="B12" s="251">
        <f t="shared" si="0"/>
        <v>5</v>
      </c>
      <c r="C12" s="387"/>
      <c r="D12" s="388"/>
      <c r="E12" s="175">
        <f>'1.5.2a-Tax Change RBAM'!H12</f>
        <v>0</v>
      </c>
      <c r="F12" s="389"/>
      <c r="G12" s="389"/>
      <c r="H12" s="389"/>
      <c r="I12" s="389"/>
      <c r="J12" s="834"/>
      <c r="K12" s="840"/>
      <c r="L12" s="387"/>
      <c r="M12" s="387"/>
      <c r="N12" s="388"/>
    </row>
    <row r="13" spans="2:14" ht="13.8">
      <c r="B13" s="251">
        <f t="shared" si="0"/>
        <v>6</v>
      </c>
      <c r="C13" s="168"/>
      <c r="D13" s="170"/>
      <c r="E13" s="175"/>
      <c r="F13" s="175"/>
      <c r="G13" s="175"/>
      <c r="H13" s="175"/>
      <c r="I13" s="175"/>
      <c r="J13" s="175"/>
      <c r="K13" s="175"/>
      <c r="L13" s="175"/>
      <c r="M13" s="175"/>
      <c r="N13" s="170"/>
    </row>
    <row r="14" spans="2:14" ht="13.8">
      <c r="B14" s="251">
        <f t="shared" si="0"/>
        <v>7</v>
      </c>
      <c r="C14" s="168"/>
      <c r="D14" s="176" t="s">
        <v>40</v>
      </c>
      <c r="E14" s="175">
        <f>SUM(E8:E12)</f>
        <v>0</v>
      </c>
      <c r="F14" s="175">
        <f>SUM(F8:F12)</f>
        <v>0</v>
      </c>
      <c r="G14" s="175">
        <f>SUM(G8:G12)</f>
        <v>0</v>
      </c>
      <c r="H14" s="175">
        <f>SUM(H8:H12)</f>
        <v>0</v>
      </c>
      <c r="I14" s="175">
        <f>SUM(I8:I12)</f>
        <v>0</v>
      </c>
      <c r="J14" s="175"/>
      <c r="K14" s="175"/>
      <c r="L14" s="175"/>
      <c r="M14" s="175"/>
      <c r="N14" s="170"/>
    </row>
    <row r="15" spans="2:14" ht="13.8">
      <c r="B15" s="251">
        <f t="shared" si="0"/>
        <v>8</v>
      </c>
      <c r="C15" s="383"/>
      <c r="D15" s="176" t="s">
        <v>41</v>
      </c>
      <c r="E15" s="175"/>
      <c r="F15" s="442">
        <f>0</f>
        <v>0</v>
      </c>
      <c r="G15" s="442">
        <f>1</f>
        <v>1</v>
      </c>
      <c r="H15" s="442">
        <f>AppendixA!$H$27</f>
        <v>7.4491583404762904E-2</v>
      </c>
      <c r="I15" s="442">
        <f>AppendixA!$H$16</f>
        <v>4.4161101816983732E-2</v>
      </c>
      <c r="J15" s="177"/>
      <c r="K15" s="170"/>
      <c r="L15" s="170"/>
      <c r="M15" s="170"/>
      <c r="N15" s="170"/>
    </row>
    <row r="16" spans="2:14" ht="13.8">
      <c r="B16" s="251">
        <f t="shared" si="0"/>
        <v>9</v>
      </c>
      <c r="C16" s="168"/>
      <c r="D16" s="176" t="s">
        <v>1359</v>
      </c>
      <c r="E16" s="175"/>
      <c r="F16" s="175">
        <f>F14*F15</f>
        <v>0</v>
      </c>
      <c r="G16" s="175">
        <f>G14*G15</f>
        <v>0</v>
      </c>
      <c r="H16" s="175">
        <f>H14*H15</f>
        <v>0</v>
      </c>
      <c r="I16" s="175">
        <f>I14*I15</f>
        <v>0</v>
      </c>
      <c r="J16" s="510">
        <f>-SUM(F16:I16)</f>
        <v>0</v>
      </c>
      <c r="K16" s="175"/>
      <c r="L16" s="175"/>
      <c r="M16" s="175"/>
      <c r="N16" s="170" t="s">
        <v>1360</v>
      </c>
    </row>
    <row r="17" spans="2:14" ht="13.8">
      <c r="B17" s="251">
        <f t="shared" si="0"/>
        <v>10</v>
      </c>
      <c r="C17" s="168"/>
      <c r="D17" s="176"/>
      <c r="E17" s="175"/>
      <c r="F17" s="175"/>
      <c r="G17" s="175"/>
      <c r="H17" s="175"/>
      <c r="I17" s="175"/>
      <c r="J17" s="175"/>
      <c r="K17" s="175"/>
      <c r="L17" s="175"/>
      <c r="M17" s="175"/>
      <c r="N17" s="170"/>
    </row>
    <row r="18" spans="2:14" ht="13.8">
      <c r="B18" s="251">
        <f t="shared" si="0"/>
        <v>11</v>
      </c>
      <c r="C18" s="168"/>
      <c r="D18" s="176"/>
      <c r="E18" s="175"/>
      <c r="F18" s="175"/>
      <c r="G18" s="175"/>
      <c r="H18" s="175"/>
      <c r="I18" s="175"/>
      <c r="J18" s="175"/>
      <c r="K18" s="175"/>
      <c r="L18" s="175"/>
      <c r="M18" s="175"/>
      <c r="N18" s="170"/>
    </row>
    <row r="19" spans="2:14" ht="13.8">
      <c r="B19" s="251">
        <f t="shared" si="0"/>
        <v>12</v>
      </c>
      <c r="C19" s="793">
        <v>182.3</v>
      </c>
      <c r="D19" s="794" t="str">
        <f>+'1.5.1b-EDIT Remeasure '!D31</f>
        <v>Regulatory Assets / Liabilities</v>
      </c>
      <c r="E19" s="175">
        <f>'1.5.2a-Tax Change RBAM'!H19</f>
        <v>0</v>
      </c>
      <c r="F19" s="389"/>
      <c r="G19" s="389"/>
      <c r="H19" s="389"/>
      <c r="I19" s="389"/>
      <c r="J19" s="175"/>
      <c r="K19" s="798"/>
      <c r="L19" s="798"/>
      <c r="M19" s="798"/>
      <c r="N19" s="807"/>
    </row>
    <row r="20" spans="2:14" ht="13.8">
      <c r="B20" s="251">
        <f t="shared" si="0"/>
        <v>13</v>
      </c>
      <c r="C20" s="793">
        <v>182.3</v>
      </c>
      <c r="D20" s="794" t="str">
        <f>+'1.5.1b-EDIT Remeasure '!D32</f>
        <v>Unbilled Revenue</v>
      </c>
      <c r="E20" s="175">
        <f>'1.5.2a-Tax Change RBAM'!H20</f>
        <v>0</v>
      </c>
      <c r="F20" s="389"/>
      <c r="G20" s="389"/>
      <c r="H20" s="389">
        <f>E20</f>
        <v>0</v>
      </c>
      <c r="I20" s="389"/>
      <c r="J20" s="834"/>
      <c r="K20" s="840"/>
      <c r="L20" s="387"/>
      <c r="M20" s="387"/>
      <c r="N20" s="388"/>
    </row>
    <row r="21" spans="2:14" ht="13.8">
      <c r="B21" s="251">
        <f t="shared" si="0"/>
        <v>14</v>
      </c>
      <c r="C21" s="793">
        <v>182.3</v>
      </c>
      <c r="D21" s="794" t="str">
        <f>+'1.5.1b-EDIT Remeasure '!D33</f>
        <v>Compensation Accruals</v>
      </c>
      <c r="E21" s="175">
        <f>'1.5.2a-Tax Change RBAM'!H21</f>
        <v>0</v>
      </c>
      <c r="F21" s="389"/>
      <c r="G21" s="389"/>
      <c r="H21" s="389"/>
      <c r="I21" s="389">
        <f>E21</f>
        <v>0</v>
      </c>
      <c r="J21" s="834"/>
      <c r="K21" s="840"/>
      <c r="L21" s="387"/>
      <c r="M21" s="387"/>
      <c r="N21" s="388"/>
    </row>
    <row r="22" spans="2:14" ht="13.8">
      <c r="B22" s="251">
        <f t="shared" si="0"/>
        <v>15</v>
      </c>
      <c r="C22" s="793">
        <v>182.3</v>
      </c>
      <c r="D22" s="794" t="str">
        <f>+'1.5.1b-EDIT Remeasure '!D34</f>
        <v>Reserves &amp; Accruals</v>
      </c>
      <c r="E22" s="175">
        <f>'1.5.2a-Tax Change RBAM'!H22</f>
        <v>0</v>
      </c>
      <c r="F22" s="389"/>
      <c r="G22" s="389"/>
      <c r="H22" s="389">
        <f>E22</f>
        <v>0</v>
      </c>
      <c r="I22" s="389"/>
      <c r="J22" s="834"/>
      <c r="K22" s="840"/>
      <c r="L22" s="387"/>
      <c r="M22" s="387"/>
      <c r="N22" s="388"/>
    </row>
    <row r="23" spans="2:14" ht="13.8">
      <c r="B23" s="251">
        <f t="shared" si="0"/>
        <v>16</v>
      </c>
      <c r="C23" s="793">
        <v>182.3</v>
      </c>
      <c r="D23" s="794" t="str">
        <f>+'1.5.1b-EDIT Remeasure '!D35</f>
        <v>Pension / Postretirement Benefits</v>
      </c>
      <c r="E23" s="175">
        <f>'1.5.2a-Tax Change RBAM'!H23</f>
        <v>0</v>
      </c>
      <c r="F23" s="389"/>
      <c r="G23" s="389"/>
      <c r="H23" s="389"/>
      <c r="I23" s="389">
        <f>E23</f>
        <v>0</v>
      </c>
      <c r="J23" s="834"/>
      <c r="K23" s="840"/>
      <c r="L23" s="387"/>
      <c r="M23" s="387"/>
      <c r="N23" s="388"/>
    </row>
    <row r="24" spans="2:14" ht="13.8">
      <c r="B24" s="251">
        <f t="shared" si="0"/>
        <v>17</v>
      </c>
      <c r="C24" s="793">
        <v>182.3</v>
      </c>
      <c r="D24" s="794" t="str">
        <f>+'1.5.1b-EDIT Remeasure '!D36</f>
        <v>Environmental Liability</v>
      </c>
      <c r="E24" s="175">
        <f>'1.5.2a-Tax Change RBAM'!H24</f>
        <v>0</v>
      </c>
      <c r="F24" s="389">
        <f>E24</f>
        <v>0</v>
      </c>
      <c r="G24" s="389"/>
      <c r="H24" s="389"/>
      <c r="I24" s="389"/>
      <c r="J24" s="834"/>
      <c r="K24" s="840"/>
      <c r="L24" s="387"/>
      <c r="M24" s="387"/>
      <c r="N24" s="388"/>
    </row>
    <row r="25" spans="2:14" ht="13.8">
      <c r="B25" s="251">
        <f t="shared" si="0"/>
        <v>18</v>
      </c>
      <c r="C25" s="793">
        <v>182.3</v>
      </c>
      <c r="D25" s="794" t="str">
        <f>+'1.5.1b-EDIT Remeasure '!D37</f>
        <v>Interest Rate Hedge</v>
      </c>
      <c r="E25" s="175">
        <f>'1.5.2a-Tax Change RBAM'!H25</f>
        <v>0</v>
      </c>
      <c r="F25" s="389"/>
      <c r="G25" s="389"/>
      <c r="H25" s="389"/>
      <c r="I25" s="389"/>
      <c r="J25" s="834"/>
      <c r="K25" s="840"/>
      <c r="L25" s="387"/>
      <c r="M25" s="387"/>
      <c r="N25" s="388"/>
    </row>
    <row r="26" spans="2:14" ht="13.8">
      <c r="B26" s="251">
        <f t="shared" si="0"/>
        <v>19</v>
      </c>
      <c r="C26" s="793">
        <v>182.3</v>
      </c>
      <c r="D26" s="794" t="str">
        <f>+'1.5.1b-EDIT Remeasure '!D38</f>
        <v>Customer Advances</v>
      </c>
      <c r="E26" s="175">
        <f>'1.5.2a-Tax Change RBAM'!H26</f>
        <v>0</v>
      </c>
      <c r="F26" s="389"/>
      <c r="G26" s="389"/>
      <c r="H26" s="389"/>
      <c r="I26" s="389"/>
      <c r="J26" s="834"/>
      <c r="K26" s="840"/>
      <c r="L26" s="387"/>
      <c r="M26" s="387"/>
      <c r="N26" s="388"/>
    </row>
    <row r="27" spans="2:14" ht="13.8">
      <c r="B27" s="251">
        <f>B26+1</f>
        <v>20</v>
      </c>
      <c r="C27" s="793">
        <v>182.3</v>
      </c>
      <c r="D27" s="794" t="str">
        <f>+'1.5.1b-EDIT Remeasure '!D39</f>
        <v>Net Operating Loss</v>
      </c>
      <c r="E27" s="175">
        <f>'1.5.2a-Tax Change RBAM'!H27</f>
        <v>0</v>
      </c>
      <c r="F27" s="389"/>
      <c r="G27" s="389"/>
      <c r="H27" s="389">
        <f>E27</f>
        <v>0</v>
      </c>
      <c r="I27" s="389"/>
      <c r="J27" s="834"/>
      <c r="K27" s="840"/>
      <c r="L27" s="387"/>
      <c r="M27" s="387"/>
      <c r="N27" s="805"/>
    </row>
    <row r="28" spans="2:14" ht="13.8">
      <c r="B28" s="251">
        <f t="shared" si="0"/>
        <v>21</v>
      </c>
      <c r="C28" s="793">
        <v>182.3</v>
      </c>
      <c r="D28" s="794" t="str">
        <f>+'1.5.1b-EDIT Remeasure '!D40</f>
        <v>Non-jurisdictional (SD Gas, NE Gas)</v>
      </c>
      <c r="E28" s="175">
        <f>'1.5.2a-Tax Change RBAM'!H28</f>
        <v>0</v>
      </c>
      <c r="F28" s="389">
        <f>E28</f>
        <v>0</v>
      </c>
      <c r="G28" s="389"/>
      <c r="H28" s="389"/>
      <c r="I28" s="389"/>
      <c r="J28" s="834"/>
      <c r="K28" s="840"/>
      <c r="L28" s="387"/>
      <c r="M28" s="387"/>
      <c r="N28" s="388"/>
    </row>
    <row r="29" spans="2:14" ht="13.8">
      <c r="B29" s="251">
        <f t="shared" si="0"/>
        <v>22</v>
      </c>
      <c r="C29" s="387"/>
      <c r="D29" s="808"/>
      <c r="E29" s="175">
        <f>'1.5.2a-Tax Change RBAM'!H29</f>
        <v>0</v>
      </c>
      <c r="F29" s="389"/>
      <c r="G29" s="389"/>
      <c r="H29" s="389"/>
      <c r="I29" s="389"/>
      <c r="K29" s="808"/>
      <c r="L29" s="808"/>
      <c r="M29" s="808"/>
      <c r="N29" s="808"/>
    </row>
    <row r="30" spans="2:14" ht="13.8">
      <c r="B30" s="251">
        <f t="shared" si="0"/>
        <v>23</v>
      </c>
      <c r="C30" s="387"/>
      <c r="D30" s="388"/>
      <c r="E30" s="175">
        <f>'1.5.2a-Tax Change RBAM'!H30</f>
        <v>0</v>
      </c>
      <c r="F30" s="389"/>
      <c r="G30" s="389"/>
      <c r="H30" s="389"/>
      <c r="I30" s="389"/>
      <c r="J30" s="834"/>
      <c r="K30" s="840"/>
      <c r="L30" s="387"/>
      <c r="M30" s="387"/>
      <c r="N30" s="388"/>
    </row>
    <row r="31" spans="2:14" ht="13.8">
      <c r="B31" s="251">
        <f t="shared" si="0"/>
        <v>24</v>
      </c>
      <c r="C31" s="387"/>
      <c r="D31" s="388"/>
      <c r="E31" s="175">
        <f>'1.5.2a-Tax Change RBAM'!H31</f>
        <v>0</v>
      </c>
      <c r="F31" s="389"/>
      <c r="G31" s="389"/>
      <c r="H31" s="389"/>
      <c r="I31" s="389"/>
      <c r="J31" s="834"/>
      <c r="K31" s="840"/>
      <c r="L31" s="387"/>
      <c r="M31" s="387"/>
      <c r="N31" s="388"/>
    </row>
    <row r="32" spans="2:14" ht="13.8">
      <c r="B32" s="251">
        <f t="shared" si="0"/>
        <v>25</v>
      </c>
      <c r="C32" s="168"/>
      <c r="D32" s="170"/>
      <c r="E32" s="175"/>
      <c r="F32" s="175"/>
      <c r="G32" s="175"/>
      <c r="H32" s="175"/>
      <c r="I32" s="175"/>
      <c r="J32" s="175"/>
      <c r="K32" s="175"/>
      <c r="L32" s="175"/>
      <c r="M32" s="175"/>
      <c r="N32" s="170"/>
    </row>
    <row r="33" spans="2:14" ht="13.8">
      <c r="B33" s="251">
        <f t="shared" si="0"/>
        <v>26</v>
      </c>
      <c r="C33" s="168"/>
      <c r="D33" s="176" t="s">
        <v>40</v>
      </c>
      <c r="E33" s="175">
        <f>SUM(E19:E31)</f>
        <v>0</v>
      </c>
      <c r="F33" s="175">
        <f>SUM(F19:F31)</f>
        <v>0</v>
      </c>
      <c r="G33" s="175">
        <f>SUM(G19:G31)</f>
        <v>0</v>
      </c>
      <c r="H33" s="175">
        <f>SUM(H19:H31)</f>
        <v>0</v>
      </c>
      <c r="I33" s="175">
        <f>SUM(I19:I31)</f>
        <v>0</v>
      </c>
      <c r="J33" s="175"/>
      <c r="K33" s="175"/>
      <c r="L33" s="175"/>
      <c r="M33" s="175"/>
      <c r="N33" s="170"/>
    </row>
    <row r="34" spans="2:14" ht="14.4" thickBot="1">
      <c r="B34" s="251">
        <f t="shared" si="0"/>
        <v>27</v>
      </c>
      <c r="C34" s="168"/>
      <c r="D34" s="176" t="s">
        <v>1361</v>
      </c>
      <c r="E34" s="175">
        <f>E14+E33</f>
        <v>0</v>
      </c>
      <c r="F34" s="175"/>
      <c r="G34" s="175"/>
      <c r="H34" s="175"/>
      <c r="I34" s="175"/>
      <c r="J34" s="175"/>
      <c r="K34" s="175"/>
      <c r="L34" s="175"/>
      <c r="M34" s="175"/>
      <c r="N34" s="170"/>
    </row>
    <row r="35" spans="2:14" ht="28.2" thickBot="1">
      <c r="B35" s="251">
        <f t="shared" si="0"/>
        <v>28</v>
      </c>
      <c r="C35" s="168"/>
      <c r="D35" s="731" t="s">
        <v>1497</v>
      </c>
      <c r="E35" s="511">
        <f>Inputs!D317</f>
        <v>0</v>
      </c>
      <c r="F35" s="232"/>
      <c r="G35" s="232"/>
      <c r="H35" s="232"/>
      <c r="I35" s="232"/>
      <c r="J35" s="232"/>
      <c r="K35" s="175"/>
      <c r="L35" s="175"/>
      <c r="M35" s="175"/>
      <c r="N35" s="170"/>
    </row>
    <row r="36" spans="2:14" ht="13.8">
      <c r="B36" s="251">
        <f t="shared" si="0"/>
        <v>29</v>
      </c>
      <c r="C36" s="383"/>
      <c r="D36" s="176" t="s">
        <v>41</v>
      </c>
      <c r="E36" s="175"/>
      <c r="F36" s="442">
        <f>0</f>
        <v>0</v>
      </c>
      <c r="G36" s="442">
        <f>1</f>
        <v>1</v>
      </c>
      <c r="H36" s="442">
        <f>AppendixA!$H$27</f>
        <v>7.4491583404762904E-2</v>
      </c>
      <c r="I36" s="442">
        <f>AppendixA!$H$16</f>
        <v>4.4161101816983732E-2</v>
      </c>
      <c r="J36" s="177"/>
      <c r="K36" s="170"/>
      <c r="L36" s="170"/>
      <c r="M36" s="170"/>
      <c r="N36" s="170"/>
    </row>
    <row r="37" spans="2:14" ht="13.8">
      <c r="B37" s="251">
        <f t="shared" si="0"/>
        <v>30</v>
      </c>
      <c r="C37" s="168"/>
      <c r="D37" s="176" t="s">
        <v>1362</v>
      </c>
      <c r="E37" s="175"/>
      <c r="F37" s="175">
        <f>F33*F36</f>
        <v>0</v>
      </c>
      <c r="G37" s="175">
        <f>G33*G36</f>
        <v>0</v>
      </c>
      <c r="H37" s="175">
        <f>H33*H36</f>
        <v>0</v>
      </c>
      <c r="I37" s="175">
        <f>I33*I36</f>
        <v>0</v>
      </c>
      <c r="J37" s="510">
        <f>-SUM(F37:I37)</f>
        <v>0</v>
      </c>
      <c r="K37" s="175"/>
      <c r="L37" s="175"/>
      <c r="M37" s="175"/>
      <c r="N37" s="170" t="s">
        <v>1360</v>
      </c>
    </row>
    <row r="38" spans="2:14" ht="14.4" thickBot="1">
      <c r="B38" s="251">
        <f t="shared" si="0"/>
        <v>31</v>
      </c>
      <c r="C38" s="168"/>
      <c r="D38" s="176"/>
      <c r="E38" s="175"/>
      <c r="F38" s="175"/>
      <c r="G38" s="175"/>
      <c r="H38" s="175"/>
      <c r="I38" s="175"/>
      <c r="J38" s="175"/>
      <c r="K38" s="175"/>
      <c r="L38" s="175"/>
      <c r="M38" s="175"/>
      <c r="N38" s="170"/>
    </row>
    <row r="39" spans="2:14" ht="14.4" thickBot="1">
      <c r="B39" s="251">
        <f t="shared" si="0"/>
        <v>32</v>
      </c>
      <c r="C39" s="168"/>
      <c r="D39" s="176" t="s">
        <v>1482</v>
      </c>
      <c r="E39" s="175"/>
      <c r="F39" s="175"/>
      <c r="G39" s="175"/>
      <c r="H39" s="175"/>
      <c r="I39" s="175"/>
      <c r="J39" s="511">
        <f>J16+J37</f>
        <v>0</v>
      </c>
      <c r="K39" s="175"/>
      <c r="L39" s="175"/>
      <c r="M39" s="175"/>
      <c r="N39" s="170" t="s">
        <v>1360</v>
      </c>
    </row>
    <row r="40" spans="2:14" ht="13.8">
      <c r="B40" s="251">
        <f t="shared" si="0"/>
        <v>33</v>
      </c>
      <c r="C40" s="168"/>
      <c r="D40" s="176"/>
      <c r="E40" s="175"/>
      <c r="F40" s="175"/>
      <c r="G40" s="175"/>
      <c r="H40" s="175"/>
      <c r="I40" s="175"/>
      <c r="J40" s="175"/>
      <c r="K40" s="175"/>
      <c r="L40" s="175"/>
      <c r="M40" s="175"/>
      <c r="N40" s="170"/>
    </row>
    <row r="41" spans="2:14" ht="13.8">
      <c r="B41" s="251">
        <f t="shared" si="0"/>
        <v>34</v>
      </c>
      <c r="C41" s="168"/>
      <c r="D41" s="176"/>
      <c r="E41" s="175"/>
      <c r="F41" s="170"/>
      <c r="G41" s="170"/>
      <c r="H41" s="170"/>
      <c r="I41" s="170"/>
      <c r="J41" s="170"/>
      <c r="K41" s="170"/>
      <c r="L41" s="170"/>
      <c r="M41" s="170"/>
      <c r="N41" s="170"/>
    </row>
    <row r="42" spans="2:14" ht="28.2" customHeight="1">
      <c r="B42" s="251">
        <f t="shared" si="0"/>
        <v>35</v>
      </c>
      <c r="C42" s="793">
        <v>254</v>
      </c>
      <c r="D42" s="794" t="str">
        <f>+'1.5.1b-EDIT Remeasure '!D54</f>
        <v>Accel Depr &amp; Amort. - Protected</v>
      </c>
      <c r="E42" s="175">
        <f>'1.5.2a-Tax Change RBAM'!H42</f>
        <v>0</v>
      </c>
      <c r="F42" s="389"/>
      <c r="G42" s="389"/>
      <c r="H42" s="389">
        <f>E42</f>
        <v>0</v>
      </c>
      <c r="I42" s="389"/>
      <c r="J42" s="834"/>
      <c r="K42" s="841"/>
      <c r="L42" s="387"/>
      <c r="M42" s="387"/>
      <c r="N42" s="388"/>
    </row>
    <row r="43" spans="2:14" ht="13.8">
      <c r="B43" s="251">
        <f t="shared" si="0"/>
        <v>36</v>
      </c>
      <c r="C43" s="793">
        <v>254</v>
      </c>
      <c r="D43" s="794" t="str">
        <f>+'1.5.1b-EDIT Remeasure '!D55</f>
        <v>Non-jurisdictional (SD Gas, NE Gas) - Protected</v>
      </c>
      <c r="E43" s="175">
        <f>'1.5.2a-Tax Change RBAM'!H43</f>
        <v>0</v>
      </c>
      <c r="F43" s="389">
        <f>E43</f>
        <v>0</v>
      </c>
      <c r="G43" s="389"/>
      <c r="H43" s="389"/>
      <c r="I43" s="389"/>
      <c r="J43" s="834"/>
      <c r="K43" s="840"/>
      <c r="L43" s="387"/>
      <c r="M43" s="387"/>
      <c r="N43" s="388"/>
    </row>
    <row r="44" spans="2:14" ht="13.8">
      <c r="B44" s="251">
        <f t="shared" si="0"/>
        <v>37</v>
      </c>
      <c r="C44" s="387"/>
      <c r="D44" s="388"/>
      <c r="E44" s="175">
        <f>'1.5.2a-Tax Change RBAM'!H44</f>
        <v>0</v>
      </c>
      <c r="F44" s="389"/>
      <c r="G44" s="389"/>
      <c r="H44" s="389"/>
      <c r="I44" s="389"/>
      <c r="J44" s="834"/>
      <c r="K44" s="841"/>
      <c r="L44" s="387"/>
      <c r="M44" s="387"/>
      <c r="N44" s="388"/>
    </row>
    <row r="45" spans="2:14" ht="13.8">
      <c r="B45" s="251">
        <f t="shared" si="0"/>
        <v>38</v>
      </c>
      <c r="C45" s="387"/>
      <c r="D45" s="388"/>
      <c r="E45" s="175">
        <f>'1.5.2a-Tax Change RBAM'!H45</f>
        <v>0</v>
      </c>
      <c r="F45" s="389"/>
      <c r="G45" s="389"/>
      <c r="H45" s="389"/>
      <c r="I45" s="389"/>
      <c r="J45" s="834"/>
      <c r="K45" s="841"/>
      <c r="L45" s="387"/>
      <c r="M45" s="387"/>
      <c r="N45" s="388"/>
    </row>
    <row r="46" spans="2:14" ht="13.8">
      <c r="B46" s="251">
        <f t="shared" si="0"/>
        <v>39</v>
      </c>
      <c r="C46" s="387"/>
      <c r="D46" s="388"/>
      <c r="E46" s="175">
        <f>'1.5.2a-Tax Change RBAM'!H46</f>
        <v>0</v>
      </c>
      <c r="F46" s="389"/>
      <c r="G46" s="389"/>
      <c r="H46" s="389"/>
      <c r="I46" s="389"/>
      <c r="J46" s="834"/>
      <c r="K46" s="841"/>
      <c r="L46" s="387"/>
      <c r="M46" s="387"/>
      <c r="N46" s="388"/>
    </row>
    <row r="47" spans="2:14" ht="13.8">
      <c r="B47" s="251">
        <f t="shared" si="0"/>
        <v>40</v>
      </c>
      <c r="C47" s="382"/>
      <c r="D47" s="170"/>
      <c r="E47" s="175"/>
      <c r="F47" s="175"/>
      <c r="G47" s="175"/>
      <c r="H47" s="175"/>
      <c r="I47" s="175"/>
      <c r="J47" s="175"/>
      <c r="K47" s="175"/>
      <c r="L47" s="175"/>
      <c r="M47" s="175"/>
      <c r="N47" s="179"/>
    </row>
    <row r="48" spans="2:14" ht="13.8">
      <c r="B48" s="251">
        <f t="shared" si="0"/>
        <v>41</v>
      </c>
      <c r="C48" s="382"/>
      <c r="D48" s="180" t="s">
        <v>492</v>
      </c>
      <c r="E48" s="175">
        <f>SUM(E42:E46)</f>
        <v>0</v>
      </c>
      <c r="F48" s="175">
        <f>SUM(F42:F46)</f>
        <v>0</v>
      </c>
      <c r="G48" s="175">
        <f>SUM(G42:G46)</f>
        <v>0</v>
      </c>
      <c r="H48" s="175">
        <f>SUM(H42:H46)</f>
        <v>0</v>
      </c>
      <c r="I48" s="175">
        <f>SUM(I42:I46)</f>
        <v>0</v>
      </c>
      <c r="J48" s="175"/>
      <c r="K48" s="175"/>
      <c r="L48" s="175"/>
      <c r="M48" s="175"/>
      <c r="N48" s="179"/>
    </row>
    <row r="49" spans="2:14" ht="13.8">
      <c r="B49" s="251">
        <f t="shared" si="0"/>
        <v>42</v>
      </c>
      <c r="C49" s="382"/>
      <c r="D49" s="176" t="s">
        <v>41</v>
      </c>
      <c r="E49" s="175"/>
      <c r="F49" s="442">
        <f>F36</f>
        <v>0</v>
      </c>
      <c r="G49" s="442">
        <f>G36</f>
        <v>1</v>
      </c>
      <c r="H49" s="442">
        <f>AppendixA!$H$27</f>
        <v>7.4491583404762904E-2</v>
      </c>
      <c r="I49" s="442">
        <f>AppendixA!$H$16</f>
        <v>4.4161101816983732E-2</v>
      </c>
      <c r="J49" s="177"/>
      <c r="K49" s="170"/>
      <c r="L49" s="170"/>
      <c r="M49" s="170"/>
      <c r="N49" s="179"/>
    </row>
    <row r="50" spans="2:14" ht="13.8">
      <c r="B50" s="251">
        <f t="shared" si="0"/>
        <v>43</v>
      </c>
      <c r="C50" s="384"/>
      <c r="D50" s="176" t="s">
        <v>1364</v>
      </c>
      <c r="E50" s="175"/>
      <c r="F50" s="175">
        <f>F48*F49</f>
        <v>0</v>
      </c>
      <c r="G50" s="175">
        <f>G48*G49</f>
        <v>0</v>
      </c>
      <c r="H50" s="175">
        <f>H48*H49</f>
        <v>0</v>
      </c>
      <c r="I50" s="175">
        <f>I48*I49</f>
        <v>0</v>
      </c>
      <c r="J50" s="510">
        <f>-SUM(F50:I50)</f>
        <v>0</v>
      </c>
      <c r="K50" s="175"/>
      <c r="L50" s="175"/>
      <c r="M50" s="175"/>
      <c r="N50" s="170" t="s">
        <v>1360</v>
      </c>
    </row>
    <row r="51" spans="2:14" ht="13.8">
      <c r="B51" s="251">
        <f t="shared" si="0"/>
        <v>44</v>
      </c>
      <c r="C51" s="384"/>
      <c r="D51" s="176"/>
      <c r="E51" s="175"/>
      <c r="F51" s="175"/>
      <c r="G51" s="175"/>
      <c r="H51" s="175"/>
      <c r="I51" s="175"/>
      <c r="J51" s="175"/>
      <c r="K51" s="175"/>
      <c r="L51" s="175"/>
      <c r="M51" s="175"/>
      <c r="N51" s="170"/>
    </row>
    <row r="52" spans="2:14" ht="13.8">
      <c r="B52" s="251">
        <f t="shared" si="0"/>
        <v>45</v>
      </c>
      <c r="C52" s="384"/>
      <c r="D52" s="176"/>
      <c r="E52" s="175"/>
      <c r="F52" s="175"/>
      <c r="G52" s="175"/>
      <c r="H52" s="175"/>
      <c r="I52" s="175"/>
      <c r="J52" s="175"/>
      <c r="K52" s="175"/>
      <c r="L52" s="175"/>
      <c r="M52" s="175"/>
      <c r="N52" s="170"/>
    </row>
    <row r="53" spans="2:14" ht="13.8">
      <c r="B53" s="251">
        <f t="shared" si="0"/>
        <v>46</v>
      </c>
      <c r="C53" s="384"/>
      <c r="D53" s="176"/>
      <c r="E53" s="175"/>
      <c r="F53" s="175"/>
      <c r="G53" s="175"/>
      <c r="H53" s="175"/>
      <c r="I53" s="175"/>
      <c r="J53" s="175"/>
      <c r="K53" s="175"/>
      <c r="L53" s="175"/>
      <c r="M53" s="175"/>
      <c r="N53" s="170"/>
    </row>
    <row r="54" spans="2:14" ht="13.8">
      <c r="B54" s="251">
        <f t="shared" si="0"/>
        <v>47</v>
      </c>
      <c r="C54" s="793">
        <v>254</v>
      </c>
      <c r="D54" s="794" t="str">
        <f>+'1.5.1b-EDIT Remeasure '!D66</f>
        <v>Accel Depr &amp; Amort. - Unprotected (282)</v>
      </c>
      <c r="E54" s="175">
        <f>'1.5.2a-Tax Change RBAM'!H54</f>
        <v>0</v>
      </c>
      <c r="F54" s="389"/>
      <c r="G54" s="389"/>
      <c r="H54" s="389">
        <f>E54</f>
        <v>0</v>
      </c>
      <c r="I54" s="389"/>
      <c r="J54" s="834"/>
      <c r="K54" s="841"/>
      <c r="L54" s="387"/>
      <c r="M54" s="387"/>
      <c r="N54" s="388"/>
    </row>
    <row r="55" spans="2:14" ht="13.8">
      <c r="B55" s="251">
        <f t="shared" si="0"/>
        <v>48</v>
      </c>
      <c r="C55" s="793">
        <v>254</v>
      </c>
      <c r="D55" s="794" t="str">
        <f>+'1.5.1b-EDIT Remeasure '!D67</f>
        <v>Non-jurisdictional (SD Gas, NE Gas) - Unprotected (282)</v>
      </c>
      <c r="E55" s="175">
        <f>'1.5.2a-Tax Change RBAM'!H55</f>
        <v>0</v>
      </c>
      <c r="F55" s="389">
        <f>+E55</f>
        <v>0</v>
      </c>
      <c r="G55" s="389"/>
      <c r="H55" s="389"/>
      <c r="I55" s="389"/>
      <c r="J55" s="834"/>
      <c r="K55" s="841"/>
      <c r="L55" s="387"/>
      <c r="M55" s="387"/>
      <c r="N55" s="388"/>
    </row>
    <row r="56" spans="2:14" ht="13.8">
      <c r="B56" s="251">
        <f t="shared" si="0"/>
        <v>49</v>
      </c>
      <c r="C56" s="793">
        <v>254</v>
      </c>
      <c r="D56" s="794" t="str">
        <f>+'1.5.1b-EDIT Remeasure '!D68</f>
        <v>Regulatory Assets - Unprotected (283)</v>
      </c>
      <c r="E56" s="175">
        <f>'1.5.2a-Tax Change RBAM'!H56</f>
        <v>0</v>
      </c>
      <c r="F56" s="389">
        <f>E56</f>
        <v>0</v>
      </c>
      <c r="G56" s="389"/>
      <c r="H56" s="389"/>
      <c r="I56" s="389"/>
      <c r="J56" s="834"/>
      <c r="K56" s="840"/>
      <c r="L56" s="387"/>
      <c r="M56" s="387"/>
      <c r="N56" s="388"/>
    </row>
    <row r="57" spans="2:14" ht="13.8">
      <c r="B57" s="251">
        <f t="shared" si="0"/>
        <v>50</v>
      </c>
      <c r="C57" s="793">
        <v>254</v>
      </c>
      <c r="D57" s="794" t="str">
        <f>+'1.5.1b-EDIT Remeasure '!D69</f>
        <v>Non-jurisdictional (SD Gas, NE Gas) - Unprotected (283)</v>
      </c>
      <c r="E57" s="175">
        <f>'1.5.2a-Tax Change RBAM'!H57</f>
        <v>0</v>
      </c>
      <c r="F57" s="389">
        <f>E57</f>
        <v>0</v>
      </c>
      <c r="G57" s="389"/>
      <c r="H57" s="389"/>
      <c r="I57" s="389"/>
      <c r="J57" s="834"/>
      <c r="K57" s="840"/>
      <c r="L57" s="387"/>
      <c r="M57" s="387"/>
      <c r="N57" s="388"/>
    </row>
    <row r="58" spans="2:14" ht="13.8">
      <c r="B58" s="251">
        <f t="shared" si="0"/>
        <v>51</v>
      </c>
      <c r="C58" s="387"/>
      <c r="D58" s="388"/>
      <c r="E58" s="175">
        <f>'1.5.2a-Tax Change RBAM'!H58</f>
        <v>0</v>
      </c>
      <c r="F58" s="389">
        <f>E58</f>
        <v>0</v>
      </c>
      <c r="G58" s="389"/>
      <c r="H58" s="389"/>
      <c r="I58" s="389"/>
      <c r="J58" s="834"/>
      <c r="K58" s="840"/>
      <c r="L58" s="387"/>
      <c r="M58" s="387"/>
      <c r="N58" s="388"/>
    </row>
    <row r="59" spans="2:14" ht="13.8">
      <c r="B59" s="251">
        <f t="shared" si="0"/>
        <v>52</v>
      </c>
      <c r="C59" s="387"/>
      <c r="D59" s="388"/>
      <c r="E59" s="175">
        <f>'1.5.2a-Tax Change RBAM'!H59</f>
        <v>0</v>
      </c>
      <c r="F59" s="389"/>
      <c r="G59" s="389"/>
      <c r="H59" s="389"/>
      <c r="I59" s="389"/>
      <c r="J59" s="834"/>
      <c r="K59" s="840"/>
      <c r="L59" s="387"/>
      <c r="M59" s="387"/>
      <c r="N59" s="388"/>
    </row>
    <row r="60" spans="2:14" ht="13.8">
      <c r="B60" s="251">
        <f t="shared" si="0"/>
        <v>53</v>
      </c>
      <c r="C60" s="387"/>
      <c r="D60" s="388"/>
      <c r="E60" s="175">
        <f>'1.5.2a-Tax Change RBAM'!H60</f>
        <v>0</v>
      </c>
      <c r="F60" s="389"/>
      <c r="G60" s="389"/>
      <c r="H60" s="389"/>
      <c r="I60" s="389"/>
      <c r="J60" s="834"/>
      <c r="K60" s="840"/>
      <c r="L60" s="387"/>
      <c r="M60" s="387"/>
      <c r="N60" s="388"/>
    </row>
    <row r="61" spans="2:14" ht="13.8">
      <c r="B61" s="251">
        <f t="shared" si="0"/>
        <v>54</v>
      </c>
      <c r="C61" s="174"/>
      <c r="D61" s="170"/>
      <c r="E61" s="175"/>
      <c r="F61" s="175"/>
      <c r="G61" s="175"/>
      <c r="H61" s="175"/>
      <c r="I61" s="175"/>
      <c r="J61" s="175"/>
      <c r="K61" s="175"/>
      <c r="L61" s="175"/>
      <c r="M61" s="175"/>
      <c r="N61" s="170"/>
    </row>
    <row r="62" spans="2:14" ht="13.8">
      <c r="B62" s="251">
        <f t="shared" si="0"/>
        <v>55</v>
      </c>
      <c r="C62" s="174"/>
      <c r="D62" s="176" t="s">
        <v>492</v>
      </c>
      <c r="E62" s="175">
        <f>SUM(E54:E60)</f>
        <v>0</v>
      </c>
      <c r="F62" s="175">
        <f>SUM(F54:F60)</f>
        <v>0</v>
      </c>
      <c r="G62" s="175">
        <f>SUM(G54:G60)</f>
        <v>0</v>
      </c>
      <c r="H62" s="175">
        <f>SUM(H54:H60)</f>
        <v>0</v>
      </c>
      <c r="I62" s="175">
        <f>SUM(I54:I60)</f>
        <v>0</v>
      </c>
      <c r="J62" s="175"/>
      <c r="K62" s="175"/>
      <c r="L62" s="175"/>
      <c r="M62" s="175"/>
      <c r="N62" s="170"/>
    </row>
    <row r="63" spans="2:14" ht="14.4" thickBot="1">
      <c r="B63" s="251">
        <f t="shared" si="0"/>
        <v>56</v>
      </c>
      <c r="C63" s="174"/>
      <c r="D63" s="176" t="s">
        <v>1366</v>
      </c>
      <c r="E63" s="175">
        <f>E48+E62</f>
        <v>0</v>
      </c>
      <c r="F63" s="175"/>
      <c r="G63" s="175"/>
      <c r="H63" s="175"/>
      <c r="I63" s="175"/>
      <c r="J63" s="175"/>
      <c r="K63" s="175"/>
      <c r="L63" s="175"/>
      <c r="M63" s="175"/>
      <c r="N63" s="170"/>
    </row>
    <row r="64" spans="2:14" ht="28.2" thickBot="1">
      <c r="B64" s="251">
        <f t="shared" si="0"/>
        <v>57</v>
      </c>
      <c r="C64" s="174"/>
      <c r="D64" s="731" t="s">
        <v>1498</v>
      </c>
      <c r="E64" s="511">
        <f>Inputs!D318</f>
        <v>0</v>
      </c>
      <c r="F64" s="232"/>
      <c r="G64" s="232"/>
      <c r="H64" s="232"/>
      <c r="I64" s="232"/>
      <c r="J64" s="232"/>
      <c r="K64" s="175"/>
      <c r="L64" s="175"/>
      <c r="M64" s="175"/>
      <c r="N64" s="395"/>
    </row>
    <row r="65" spans="2:15" ht="13.8">
      <c r="B65" s="251">
        <f t="shared" si="0"/>
        <v>58</v>
      </c>
      <c r="C65" s="174"/>
      <c r="D65" s="176" t="s">
        <v>41</v>
      </c>
      <c r="E65" s="175"/>
      <c r="F65" s="442">
        <f>F49</f>
        <v>0</v>
      </c>
      <c r="G65" s="442">
        <f>G36</f>
        <v>1</v>
      </c>
      <c r="H65" s="442">
        <f>AppendixA!$H$27</f>
        <v>7.4491583404762904E-2</v>
      </c>
      <c r="I65" s="442">
        <f>AppendixA!$H$16</f>
        <v>4.4161101816983732E-2</v>
      </c>
      <c r="J65" s="177"/>
      <c r="K65" s="170"/>
      <c r="L65" s="170"/>
      <c r="M65" s="170"/>
      <c r="N65" s="170"/>
    </row>
    <row r="66" spans="2:15" ht="13.8">
      <c r="B66" s="251">
        <f t="shared" si="0"/>
        <v>59</v>
      </c>
      <c r="C66" s="168"/>
      <c r="D66" s="176" t="s">
        <v>1367</v>
      </c>
      <c r="E66" s="175"/>
      <c r="F66" s="175">
        <f>F62*F65</f>
        <v>0</v>
      </c>
      <c r="G66" s="175">
        <f>G62*G65</f>
        <v>0</v>
      </c>
      <c r="H66" s="175">
        <f>H62*H65</f>
        <v>0</v>
      </c>
      <c r="I66" s="175">
        <f>I62*I65</f>
        <v>0</v>
      </c>
      <c r="J66" s="510">
        <f>-SUM(F66:I66)</f>
        <v>0</v>
      </c>
      <c r="K66" s="443"/>
      <c r="L66" s="443"/>
      <c r="M66" s="443"/>
      <c r="N66" s="170" t="s">
        <v>1360</v>
      </c>
    </row>
    <row r="67" spans="2:15" ht="14.4" thickBot="1">
      <c r="B67" s="251">
        <f t="shared" si="0"/>
        <v>60</v>
      </c>
      <c r="C67" s="168"/>
      <c r="D67" s="176"/>
      <c r="E67" s="175"/>
      <c r="F67" s="175"/>
      <c r="G67" s="175"/>
      <c r="H67" s="175"/>
      <c r="I67" s="175"/>
      <c r="J67" s="175"/>
      <c r="K67" s="175"/>
      <c r="L67" s="175"/>
      <c r="M67" s="175"/>
      <c r="N67" s="170"/>
    </row>
    <row r="68" spans="2:15" ht="14.4" thickBot="1">
      <c r="B68" s="251">
        <f t="shared" si="0"/>
        <v>61</v>
      </c>
      <c r="D68" s="176" t="s">
        <v>1507</v>
      </c>
      <c r="E68" s="175"/>
      <c r="F68" s="175"/>
      <c r="G68" s="175"/>
      <c r="H68" s="175"/>
      <c r="I68" s="175"/>
      <c r="J68" s="511">
        <f>+J50+J66</f>
        <v>0</v>
      </c>
      <c r="K68" s="175"/>
      <c r="L68" s="175"/>
      <c r="M68" s="175"/>
      <c r="N68" s="170" t="s">
        <v>1360</v>
      </c>
    </row>
    <row r="69" spans="2:15" ht="13.8">
      <c r="B69" s="251">
        <f t="shared" si="0"/>
        <v>62</v>
      </c>
      <c r="D69" s="176"/>
      <c r="E69" s="175"/>
      <c r="F69" s="175"/>
      <c r="G69" s="175"/>
      <c r="H69" s="175"/>
      <c r="I69" s="175"/>
      <c r="J69" s="175"/>
      <c r="K69" s="175"/>
      <c r="L69" s="175"/>
      <c r="M69" s="175"/>
      <c r="N69" s="170"/>
    </row>
    <row r="70" spans="2:15" ht="15" customHeight="1">
      <c r="B70" s="251">
        <f t="shared" si="0"/>
        <v>63</v>
      </c>
      <c r="D70" s="866" t="s">
        <v>1502</v>
      </c>
      <c r="E70" s="862"/>
      <c r="F70" s="862"/>
      <c r="G70" s="862"/>
      <c r="H70" s="862"/>
      <c r="I70" s="863"/>
      <c r="J70" s="863"/>
      <c r="K70" s="864"/>
      <c r="L70" s="864"/>
      <c r="M70" s="864"/>
      <c r="N70" s="864"/>
      <c r="O70" s="865"/>
    </row>
    <row r="71" spans="2:15" ht="13.8">
      <c r="B71" s="251">
        <f t="shared" si="0"/>
        <v>64</v>
      </c>
      <c r="D71" s="866" t="s">
        <v>1503</v>
      </c>
      <c r="E71" s="862"/>
      <c r="F71" s="862"/>
      <c r="G71" s="862"/>
      <c r="H71" s="862"/>
      <c r="I71" s="863"/>
      <c r="J71" s="863"/>
      <c r="K71" s="864"/>
      <c r="L71" s="864"/>
      <c r="M71" s="864"/>
      <c r="N71" s="864"/>
      <c r="O71" s="865"/>
    </row>
    <row r="72" spans="2:15" ht="15" customHeight="1">
      <c r="B72" s="251">
        <f t="shared" si="0"/>
        <v>65</v>
      </c>
      <c r="D72" s="866" t="s">
        <v>1504</v>
      </c>
      <c r="E72" s="862"/>
      <c r="F72" s="862"/>
      <c r="G72" s="862"/>
      <c r="H72" s="862"/>
      <c r="I72" s="863"/>
      <c r="J72" s="863"/>
      <c r="K72" s="864"/>
      <c r="L72" s="864"/>
      <c r="M72" s="864"/>
      <c r="N72" s="864"/>
      <c r="O72" s="865"/>
    </row>
    <row r="73" spans="2:15" ht="15" customHeight="1">
      <c r="B73" s="251"/>
      <c r="D73" s="844"/>
      <c r="E73" s="844"/>
      <c r="F73" s="844"/>
      <c r="G73" s="844"/>
      <c r="H73" s="844"/>
      <c r="I73" s="261"/>
      <c r="J73" s="261"/>
      <c r="K73" s="262"/>
      <c r="L73" s="262"/>
      <c r="M73" s="262"/>
      <c r="N73" s="261"/>
    </row>
    <row r="74" spans="2:15" ht="13.8">
      <c r="B74" s="953" t="s">
        <v>1499</v>
      </c>
      <c r="C74" s="953"/>
      <c r="D74" s="953"/>
      <c r="E74" s="953"/>
      <c r="F74" s="953"/>
      <c r="G74" s="953"/>
      <c r="H74" s="953"/>
      <c r="I74" s="953"/>
      <c r="J74" s="953"/>
      <c r="K74" s="953"/>
      <c r="L74" s="953"/>
      <c r="M74" s="953"/>
      <c r="N74" s="953"/>
    </row>
    <row r="75" spans="2:15" ht="13.8">
      <c r="B75" s="943" t="s">
        <v>504</v>
      </c>
      <c r="C75" s="943"/>
      <c r="D75" s="943"/>
      <c r="E75" s="943"/>
      <c r="F75" s="943"/>
      <c r="G75" s="943"/>
      <c r="H75" s="943"/>
      <c r="I75" s="943"/>
      <c r="J75" s="943"/>
      <c r="K75" s="943"/>
      <c r="L75" s="943"/>
      <c r="M75" s="943"/>
      <c r="N75" s="943"/>
    </row>
  </sheetData>
  <mergeCells count="14">
    <mergeCell ref="M5:M7"/>
    <mergeCell ref="N5:N7"/>
    <mergeCell ref="B74:N74"/>
    <mergeCell ref="B75:N75"/>
    <mergeCell ref="B1:N1"/>
    <mergeCell ref="B2:N2"/>
    <mergeCell ref="E5:E7"/>
    <mergeCell ref="F5:F7"/>
    <mergeCell ref="G5:G7"/>
    <mergeCell ref="H5:H7"/>
    <mergeCell ref="I5:I7"/>
    <mergeCell ref="J5:J7"/>
    <mergeCell ref="K5:K7"/>
    <mergeCell ref="L5:L7"/>
  </mergeCells>
  <printOptions horizontalCentered="1"/>
  <pageMargins left="0.7" right="0.7" top="0.75" bottom="0.75" header="0.3" footer="0.3"/>
  <pageSetup scale="40" orientation="landscape" r:id="rId1"/>
  <headerFooter>
    <oddHeader>&amp;C&amp;"Arial,Bold"ADDENDUM 27 TO ATTACHMENT H, Page &amp;P of &amp;N
NorthWestern Corporation (South Dakota)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73"/>
  <sheetViews>
    <sheetView topLeftCell="A32" workbookViewId="0">
      <selection activeCell="E16" sqref="E16"/>
    </sheetView>
  </sheetViews>
  <sheetFormatPr defaultColWidth="9.109375" defaultRowHeight="13.2"/>
  <cols>
    <col min="1" max="1" width="4.6640625" style="43" customWidth="1"/>
    <col min="2" max="2" width="5.6640625" style="43" customWidth="1"/>
    <col min="3" max="3" width="63.6640625" style="43" customWidth="1"/>
    <col min="4" max="4" width="3.109375" style="43" customWidth="1"/>
    <col min="5" max="5" width="16.6640625" style="83" customWidth="1"/>
    <col min="6" max="6" width="12.6640625" style="43" customWidth="1"/>
    <col min="7" max="7" width="12" style="43" bestFit="1" customWidth="1"/>
    <col min="8" max="16384" width="9.109375" style="43"/>
  </cols>
  <sheetData>
    <row r="1" spans="1:10" ht="17.399999999999999">
      <c r="A1" s="973"/>
      <c r="B1" s="973"/>
      <c r="C1" s="973"/>
      <c r="D1" s="973"/>
      <c r="E1" s="973"/>
      <c r="F1" s="973"/>
      <c r="G1" s="973"/>
      <c r="H1" s="974"/>
    </row>
    <row r="2" spans="1:10" s="23" customFormat="1" ht="21">
      <c r="A2" s="24"/>
      <c r="C2" s="67"/>
      <c r="D2" s="43"/>
      <c r="E2" s="83"/>
      <c r="F2" s="43"/>
      <c r="G2" s="24"/>
      <c r="H2" s="24"/>
      <c r="I2" s="24"/>
      <c r="J2" s="24"/>
    </row>
    <row r="3" spans="1:10" s="23" customFormat="1" ht="18" customHeight="1">
      <c r="A3" s="975" t="s">
        <v>557</v>
      </c>
      <c r="B3" s="976"/>
      <c r="C3" s="976"/>
      <c r="D3" s="976"/>
      <c r="E3" s="976"/>
      <c r="F3" s="977"/>
      <c r="G3" s="977"/>
      <c r="H3" s="977"/>
    </row>
    <row r="4" spans="1:10" s="23" customFormat="1" ht="18" customHeight="1">
      <c r="A4" s="978" t="str">
        <f>Inputs!B2</f>
        <v>(For Rate Year Beginning April 1, 2026, Based on December 31, 2025 Data)</v>
      </c>
      <c r="B4" s="978"/>
      <c r="C4" s="978"/>
      <c r="D4" s="978"/>
      <c r="E4" s="978"/>
      <c r="F4" s="978"/>
      <c r="G4" s="978"/>
      <c r="H4" s="978"/>
    </row>
    <row r="5" spans="1:10">
      <c r="A5" s="23"/>
      <c r="B5" s="23"/>
      <c r="C5" s="23"/>
      <c r="D5" s="25"/>
    </row>
    <row r="6" spans="1:10">
      <c r="A6" s="23"/>
      <c r="B6" s="23"/>
      <c r="C6" s="23"/>
      <c r="D6" s="25"/>
      <c r="E6" s="94" t="s">
        <v>177</v>
      </c>
      <c r="F6" s="94" t="s">
        <v>178</v>
      </c>
      <c r="G6" s="94" t="s">
        <v>179</v>
      </c>
    </row>
    <row r="8" spans="1:10" s="23" customFormat="1">
      <c r="A8" s="43"/>
      <c r="B8" s="43"/>
      <c r="C8" s="43"/>
      <c r="D8" s="41"/>
      <c r="E8" s="41" t="s">
        <v>180</v>
      </c>
      <c r="F8" s="41"/>
      <c r="G8" s="41" t="s">
        <v>391</v>
      </c>
      <c r="H8" s="41"/>
    </row>
    <row r="9" spans="1:10" s="23" customFormat="1">
      <c r="A9" s="52" t="s">
        <v>101</v>
      </c>
      <c r="B9" s="36"/>
      <c r="D9" s="41"/>
      <c r="E9" s="41" t="s">
        <v>390</v>
      </c>
      <c r="F9" s="41" t="s">
        <v>142</v>
      </c>
      <c r="G9" s="41" t="s">
        <v>392</v>
      </c>
      <c r="H9" s="41"/>
    </row>
    <row r="10" spans="1:10" s="23" customFormat="1">
      <c r="A10" s="36"/>
      <c r="B10" s="36"/>
      <c r="D10" s="41"/>
      <c r="E10" s="84"/>
      <c r="F10" s="41"/>
      <c r="G10" s="41"/>
      <c r="H10" s="41"/>
    </row>
    <row r="11" spans="1:10" s="23" customFormat="1">
      <c r="A11" s="36"/>
      <c r="B11" s="36"/>
      <c r="D11" s="41"/>
      <c r="E11" s="84"/>
      <c r="F11" s="41"/>
      <c r="G11" s="41"/>
      <c r="H11" s="41"/>
    </row>
    <row r="12" spans="1:10" s="23" customFormat="1">
      <c r="A12" s="36"/>
      <c r="B12" s="36"/>
      <c r="C12" s="258" t="s">
        <v>590</v>
      </c>
      <c r="D12" s="41"/>
      <c r="E12" s="84"/>
      <c r="F12" s="41"/>
      <c r="G12" s="41"/>
      <c r="H12" s="41"/>
    </row>
    <row r="13" spans="1:10" s="23" customFormat="1" ht="14.1" customHeight="1">
      <c r="D13" s="41"/>
      <c r="E13" s="84"/>
      <c r="F13" s="979" t="s">
        <v>431</v>
      </c>
      <c r="G13" s="41"/>
      <c r="H13" s="41"/>
    </row>
    <row r="14" spans="1:10" s="23" customFormat="1" ht="14.1" customHeight="1">
      <c r="A14" s="51"/>
      <c r="B14" s="52" t="s">
        <v>100</v>
      </c>
      <c r="D14" s="41"/>
      <c r="E14" s="85"/>
      <c r="F14" s="980"/>
      <c r="G14" s="41"/>
      <c r="H14" s="32"/>
    </row>
    <row r="15" spans="1:10" s="23" customFormat="1">
      <c r="A15" s="51"/>
      <c r="D15" s="41"/>
      <c r="E15" s="85"/>
      <c r="F15" s="41"/>
      <c r="G15" s="41"/>
      <c r="H15" s="229"/>
    </row>
    <row r="16" spans="1:10" s="23" customFormat="1" ht="12.75" customHeight="1">
      <c r="A16" s="51">
        <v>1</v>
      </c>
      <c r="B16" s="23" t="s">
        <v>14</v>
      </c>
      <c r="D16" s="86"/>
      <c r="E16" s="88">
        <f>+Inputs!D77+Inputs!D78+Inputs!D79</f>
        <v>5195110</v>
      </c>
      <c r="F16" s="87"/>
      <c r="H16" s="86"/>
    </row>
    <row r="17" spans="1:8" s="23" customFormat="1" ht="12.75" customHeight="1">
      <c r="A17" s="51"/>
      <c r="B17" s="986" t="s">
        <v>1393</v>
      </c>
      <c r="C17" s="986"/>
      <c r="D17" s="86"/>
      <c r="E17" s="88"/>
      <c r="F17" s="87"/>
      <c r="H17" s="86"/>
    </row>
    <row r="18" spans="1:8" s="23" customFormat="1" ht="12.75" customHeight="1">
      <c r="A18" s="51"/>
      <c r="B18" s="748"/>
      <c r="C18" s="748"/>
      <c r="D18" s="86"/>
      <c r="E18" s="88"/>
      <c r="F18" s="87"/>
      <c r="H18" s="86"/>
    </row>
    <row r="19" spans="1:8" s="23" customFormat="1" ht="12.75" customHeight="1">
      <c r="A19" s="51">
        <v>2</v>
      </c>
      <c r="F19" s="87"/>
      <c r="H19" s="86"/>
    </row>
    <row r="20" spans="1:8" s="23" customFormat="1" ht="12.75" customHeight="1">
      <c r="A20" s="51"/>
      <c r="F20" s="87"/>
      <c r="H20" s="86"/>
    </row>
    <row r="21" spans="1:8" s="23" customFormat="1" ht="12.75" customHeight="1">
      <c r="A21" s="51">
        <v>3</v>
      </c>
      <c r="B21" s="23" t="s">
        <v>682</v>
      </c>
      <c r="E21" s="333">
        <f>Inputs!D83</f>
        <v>0</v>
      </c>
      <c r="F21" s="87"/>
      <c r="H21" s="32"/>
    </row>
    <row r="22" spans="1:8" s="23" customFormat="1" ht="12.75" customHeight="1">
      <c r="A22" s="51">
        <v>4</v>
      </c>
      <c r="E22" s="88"/>
      <c r="F22" s="87"/>
      <c r="H22" s="86"/>
    </row>
    <row r="23" spans="1:8" s="23" customFormat="1" ht="12.75" customHeight="1">
      <c r="A23" s="51">
        <v>5</v>
      </c>
      <c r="C23" s="86"/>
      <c r="E23" s="88"/>
      <c r="H23" s="86"/>
    </row>
    <row r="24" spans="1:8" s="23" customFormat="1" ht="12.75" customHeight="1">
      <c r="A24" s="51">
        <v>6</v>
      </c>
      <c r="D24" s="86"/>
      <c r="E24" s="224"/>
      <c r="F24" s="87"/>
      <c r="H24" s="86"/>
    </row>
    <row r="25" spans="1:8" s="23" customFormat="1" ht="12.75" customHeight="1">
      <c r="A25" s="51">
        <v>7</v>
      </c>
      <c r="B25" s="36" t="s">
        <v>56</v>
      </c>
      <c r="D25" s="86"/>
      <c r="E25" s="88">
        <f>SUM(E16:E24)</f>
        <v>5195110</v>
      </c>
      <c r="F25" s="230">
        <f>AppendixA!H$27</f>
        <v>7.4491583404762904E-2</v>
      </c>
      <c r="G25" s="512">
        <f>+E25*F25</f>
        <v>386991.96986191784</v>
      </c>
      <c r="H25" s="86"/>
    </row>
    <row r="26" spans="1:8" s="23" customFormat="1" ht="12.75" customHeight="1">
      <c r="A26" s="51"/>
      <c r="B26" s="36"/>
      <c r="D26" s="86"/>
      <c r="E26" s="88"/>
      <c r="F26" s="230"/>
      <c r="G26" s="88"/>
      <c r="H26" s="86"/>
    </row>
    <row r="27" spans="1:8" s="23" customFormat="1" ht="12.75" customHeight="1">
      <c r="A27" s="51"/>
      <c r="B27" s="36"/>
      <c r="D27" s="86"/>
      <c r="E27" s="88"/>
      <c r="F27" s="230"/>
      <c r="G27" s="88"/>
      <c r="H27" s="86"/>
    </row>
    <row r="28" spans="1:8" s="23" customFormat="1" ht="21" customHeight="1">
      <c r="A28" s="51"/>
      <c r="D28" s="86"/>
      <c r="E28" s="89"/>
      <c r="F28" s="979" t="s">
        <v>501</v>
      </c>
      <c r="G28" s="86"/>
      <c r="H28" s="86"/>
    </row>
    <row r="29" spans="1:8" s="23" customFormat="1" ht="21" customHeight="1">
      <c r="A29" s="51"/>
      <c r="B29" s="52" t="s">
        <v>99</v>
      </c>
      <c r="D29" s="86"/>
      <c r="E29" s="89"/>
      <c r="F29" s="980"/>
      <c r="G29" s="86"/>
      <c r="H29" s="86"/>
    </row>
    <row r="30" spans="1:8" s="23" customFormat="1" ht="12.75" customHeight="1">
      <c r="A30" s="51"/>
      <c r="D30" s="86"/>
      <c r="E30" s="89"/>
      <c r="F30" s="86"/>
      <c r="G30" s="86"/>
      <c r="H30" s="86"/>
    </row>
    <row r="31" spans="1:8" s="23" customFormat="1" ht="25.5" customHeight="1">
      <c r="A31" s="54">
        <v>8</v>
      </c>
      <c r="B31" s="985" t="s">
        <v>1394</v>
      </c>
      <c r="C31" s="985"/>
      <c r="D31" s="90"/>
      <c r="E31" s="88">
        <f>+Inputs!D84+Inputs!D85</f>
        <v>759316</v>
      </c>
      <c r="F31" s="90"/>
      <c r="G31" s="90"/>
      <c r="H31" s="90"/>
    </row>
    <row r="32" spans="1:8" s="23" customFormat="1" ht="26.25" customHeight="1">
      <c r="A32" s="54">
        <v>9</v>
      </c>
      <c r="B32" s="985" t="s">
        <v>1395</v>
      </c>
      <c r="C32" s="985"/>
      <c r="E32" s="88">
        <f>+Inputs!D86</f>
        <v>2308</v>
      </c>
    </row>
    <row r="33" spans="1:10" s="23" customFormat="1">
      <c r="A33" s="51">
        <v>10</v>
      </c>
      <c r="B33" s="23" t="s">
        <v>683</v>
      </c>
      <c r="E33" s="88">
        <f>+Inputs!D87</f>
        <v>1715</v>
      </c>
    </row>
    <row r="34" spans="1:10" s="23" customFormat="1">
      <c r="A34" s="51">
        <v>11</v>
      </c>
      <c r="E34" s="69"/>
    </row>
    <row r="35" spans="1:10" s="23" customFormat="1">
      <c r="A35" s="51">
        <v>12</v>
      </c>
      <c r="E35" s="225"/>
      <c r="G35" s="513"/>
    </row>
    <row r="36" spans="1:10" s="23" customFormat="1">
      <c r="A36" s="51">
        <v>13</v>
      </c>
      <c r="B36" s="36" t="s">
        <v>507</v>
      </c>
      <c r="E36" s="88">
        <f>SUM(E31:E35)</f>
        <v>763339</v>
      </c>
      <c r="F36" s="514">
        <f>AppendixA!H16</f>
        <v>4.4161101816983732E-2</v>
      </c>
      <c r="G36" s="512">
        <f>+F36*E36</f>
        <v>33709.891299874544</v>
      </c>
    </row>
    <row r="37" spans="1:10" s="23" customFormat="1">
      <c r="A37" s="51"/>
      <c r="B37" s="36"/>
      <c r="C37" s="89"/>
      <c r="E37" s="69"/>
    </row>
    <row r="38" spans="1:10" s="23" customFormat="1">
      <c r="A38" s="51"/>
      <c r="E38" s="69"/>
    </row>
    <row r="39" spans="1:10" s="23" customFormat="1">
      <c r="A39" s="51">
        <v>14</v>
      </c>
      <c r="B39" s="36" t="s">
        <v>181</v>
      </c>
      <c r="E39" s="91"/>
      <c r="G39" s="512">
        <f>G36+G25</f>
        <v>420701.86116179236</v>
      </c>
    </row>
    <row r="40" spans="1:10" s="23" customFormat="1">
      <c r="A40" s="51"/>
      <c r="C40" s="32"/>
      <c r="E40" s="69"/>
    </row>
    <row r="41" spans="1:10" s="23" customFormat="1">
      <c r="A41" s="51"/>
      <c r="C41" s="32"/>
      <c r="E41" s="69"/>
      <c r="F41" s="88"/>
    </row>
    <row r="42" spans="1:10" s="23" customFormat="1">
      <c r="A42" s="51"/>
      <c r="C42" s="258" t="s">
        <v>591</v>
      </c>
      <c r="E42" s="69"/>
    </row>
    <row r="43" spans="1:10" s="23" customFormat="1">
      <c r="A43" s="51"/>
      <c r="E43" s="69"/>
      <c r="G43" s="36"/>
      <c r="J43" s="69"/>
    </row>
    <row r="44" spans="1:10" ht="25.5" customHeight="1">
      <c r="A44" s="54">
        <v>15</v>
      </c>
      <c r="B44" s="985" t="s">
        <v>1396</v>
      </c>
      <c r="C44" s="985"/>
      <c r="D44" s="23"/>
      <c r="E44" s="88">
        <f>+Inputs!D82</f>
        <v>21600</v>
      </c>
      <c r="F44" s="23" t="s">
        <v>441</v>
      </c>
      <c r="H44" s="93"/>
      <c r="J44" s="83"/>
    </row>
    <row r="45" spans="1:10">
      <c r="A45" s="51"/>
      <c r="B45" s="23"/>
      <c r="C45" s="23"/>
      <c r="D45" s="23"/>
      <c r="E45" s="88"/>
      <c r="F45" s="23"/>
      <c r="H45" s="93"/>
      <c r="J45" s="83"/>
    </row>
    <row r="46" spans="1:10" s="23" customFormat="1">
      <c r="A46" s="94">
        <v>16</v>
      </c>
      <c r="B46" s="983" t="s">
        <v>684</v>
      </c>
      <c r="C46" s="983"/>
      <c r="E46" s="88">
        <f>+Inputs!D80</f>
        <v>29703</v>
      </c>
      <c r="F46" s="23" t="s">
        <v>441</v>
      </c>
      <c r="H46" s="32"/>
      <c r="J46" s="69"/>
    </row>
    <row r="47" spans="1:10" s="23" customFormat="1">
      <c r="A47" s="94"/>
      <c r="B47" s="983"/>
      <c r="C47" s="983"/>
      <c r="E47" s="88"/>
      <c r="H47" s="32"/>
      <c r="J47" s="69"/>
    </row>
    <row r="48" spans="1:10" s="23" customFormat="1">
      <c r="A48" s="51">
        <v>17</v>
      </c>
      <c r="B48" s="23" t="s">
        <v>693</v>
      </c>
      <c r="E48" s="88">
        <f>+Inputs!D81</f>
        <v>318378</v>
      </c>
      <c r="F48" s="23" t="s">
        <v>441</v>
      </c>
      <c r="H48" s="32"/>
      <c r="J48" s="69"/>
    </row>
    <row r="49" spans="1:11" s="23" customFormat="1">
      <c r="A49" s="51">
        <v>18</v>
      </c>
      <c r="C49" s="86"/>
      <c r="E49" s="88"/>
      <c r="F49" s="23" t="s">
        <v>441</v>
      </c>
    </row>
    <row r="50" spans="1:11" s="23" customFormat="1">
      <c r="A50" s="51">
        <v>19</v>
      </c>
      <c r="E50" s="226"/>
    </row>
    <row r="51" spans="1:11" s="23" customFormat="1">
      <c r="A51" s="51">
        <v>20</v>
      </c>
      <c r="C51" s="36" t="s">
        <v>685</v>
      </c>
      <c r="E51" s="91">
        <f>SUM(E44:E50)</f>
        <v>369681</v>
      </c>
    </row>
    <row r="52" spans="1:11" s="23" customFormat="1">
      <c r="A52" s="51"/>
      <c r="E52" s="91"/>
    </row>
    <row r="53" spans="1:11" s="23" customFormat="1">
      <c r="A53" s="51">
        <v>21</v>
      </c>
      <c r="B53" s="36" t="s">
        <v>686</v>
      </c>
      <c r="C53" s="36"/>
      <c r="E53" s="88">
        <f>E51+E36+E25</f>
        <v>6328130</v>
      </c>
      <c r="F53" s="984"/>
      <c r="G53" s="984"/>
      <c r="H53" s="984"/>
    </row>
    <row r="54" spans="1:11" s="23" customFormat="1">
      <c r="A54" s="51"/>
      <c r="E54" s="69"/>
      <c r="F54" s="984"/>
      <c r="G54" s="984"/>
      <c r="H54" s="984"/>
    </row>
    <row r="55" spans="1:11">
      <c r="A55" s="51">
        <v>22</v>
      </c>
      <c r="B55" s="36" t="s">
        <v>1397</v>
      </c>
      <c r="C55" s="727"/>
      <c r="D55" s="95"/>
      <c r="E55" s="227">
        <f>Inputs!D31</f>
        <v>6328130</v>
      </c>
      <c r="F55" s="984"/>
      <c r="G55" s="984"/>
      <c r="H55" s="984"/>
    </row>
    <row r="56" spans="1:11" s="23" customFormat="1">
      <c r="A56" s="43"/>
      <c r="B56" s="43"/>
      <c r="C56" s="96"/>
      <c r="D56" s="96"/>
      <c r="E56" s="97"/>
      <c r="F56" s="984"/>
      <c r="G56" s="984"/>
      <c r="H56" s="984"/>
    </row>
    <row r="57" spans="1:11">
      <c r="A57" s="51">
        <v>23</v>
      </c>
      <c r="B57" s="23"/>
      <c r="C57" s="335" t="s">
        <v>644</v>
      </c>
      <c r="D57" s="335"/>
      <c r="E57" s="336">
        <f>+E53-E55</f>
        <v>0</v>
      </c>
      <c r="F57" s="984"/>
      <c r="G57" s="984"/>
      <c r="H57" s="984"/>
    </row>
    <row r="58" spans="1:11" s="23" customFormat="1">
      <c r="A58" s="43"/>
      <c r="B58" s="43"/>
      <c r="C58" s="96"/>
      <c r="D58" s="96"/>
      <c r="E58" s="98"/>
      <c r="F58" s="97"/>
      <c r="G58" s="97"/>
      <c r="H58" s="15"/>
    </row>
    <row r="59" spans="1:11">
      <c r="A59" s="23"/>
      <c r="B59" s="23" t="s">
        <v>500</v>
      </c>
      <c r="C59" s="23"/>
      <c r="D59" s="23"/>
      <c r="E59" s="88"/>
      <c r="F59" s="92"/>
      <c r="G59" s="92"/>
      <c r="H59" s="92"/>
    </row>
    <row r="60" spans="1:11" s="23" customFormat="1" ht="21" customHeight="1">
      <c r="A60" s="43"/>
      <c r="B60" s="43" t="s">
        <v>443</v>
      </c>
      <c r="C60" s="23" t="s">
        <v>695</v>
      </c>
      <c r="D60" s="43"/>
      <c r="E60" s="99"/>
      <c r="F60" s="15"/>
      <c r="G60" s="15"/>
      <c r="H60" s="15"/>
      <c r="K60" s="101"/>
    </row>
    <row r="61" spans="1:11" s="23" customFormat="1" ht="21" customHeight="1">
      <c r="A61" s="43"/>
      <c r="B61" s="43" t="s">
        <v>493</v>
      </c>
      <c r="C61" s="23" t="s">
        <v>694</v>
      </c>
      <c r="D61" s="43"/>
      <c r="E61" s="99"/>
      <c r="F61" s="43"/>
      <c r="G61" s="15"/>
      <c r="H61" s="15"/>
    </row>
    <row r="62" spans="1:11" s="23" customFormat="1" ht="21" customHeight="1">
      <c r="B62" s="43" t="s">
        <v>430</v>
      </c>
      <c r="C62" s="43" t="s">
        <v>360</v>
      </c>
      <c r="D62" s="43"/>
      <c r="E62" s="99"/>
      <c r="F62" s="43"/>
      <c r="G62" s="15"/>
      <c r="H62" s="15"/>
    </row>
    <row r="63" spans="1:11" ht="21.6" customHeight="1">
      <c r="B63" s="23"/>
      <c r="C63" s="32"/>
      <c r="D63" s="23"/>
      <c r="E63" s="88"/>
      <c r="F63" s="23"/>
      <c r="G63" s="92"/>
      <c r="H63" s="92"/>
    </row>
    <row r="64" spans="1:11">
      <c r="C64" s="23"/>
      <c r="E64" s="99"/>
      <c r="K64" s="101"/>
    </row>
    <row r="72" spans="1:8" ht="14.1" customHeight="1">
      <c r="A72" s="981" t="s">
        <v>424</v>
      </c>
      <c r="B72" s="982"/>
      <c r="C72" s="982"/>
      <c r="D72" s="982"/>
      <c r="E72" s="982"/>
      <c r="F72" s="982"/>
      <c r="G72" s="982"/>
      <c r="H72" s="982"/>
    </row>
    <row r="73" spans="1:8" ht="14.1" customHeight="1">
      <c r="A73" s="981" t="s">
        <v>504</v>
      </c>
      <c r="B73" s="982"/>
      <c r="C73" s="982"/>
      <c r="D73" s="982"/>
      <c r="E73" s="982"/>
      <c r="F73" s="982"/>
      <c r="G73" s="982"/>
      <c r="H73" s="982"/>
    </row>
  </sheetData>
  <mergeCells count="13">
    <mergeCell ref="A1:H1"/>
    <mergeCell ref="A3:H3"/>
    <mergeCell ref="A4:H4"/>
    <mergeCell ref="F13:F14"/>
    <mergeCell ref="A73:H73"/>
    <mergeCell ref="B46:C47"/>
    <mergeCell ref="F28:F29"/>
    <mergeCell ref="F53:H57"/>
    <mergeCell ref="A72:H72"/>
    <mergeCell ref="B31:C31"/>
    <mergeCell ref="B32:C32"/>
    <mergeCell ref="B44:C44"/>
    <mergeCell ref="B17:C17"/>
  </mergeCells>
  <phoneticPr fontId="0" type="noConversion"/>
  <pageMargins left="0.7" right="0.7" top="0.75" bottom="0.75" header="0.3" footer="0.3"/>
  <pageSetup scale="40" orientation="portrait" r:id="rId1"/>
  <headerFooter>
    <oddHeader>&amp;C&amp;"Arial,Bold"ADDENDUM 27 TO ATTACHMENT H, Page &amp;P of &amp;N
NorthWestern Corporation (South Dakota)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BW34"/>
  <sheetViews>
    <sheetView zoomScale="80" zoomScaleNormal="80" workbookViewId="0">
      <selection activeCell="G31" sqref="G31"/>
    </sheetView>
  </sheetViews>
  <sheetFormatPr defaultRowHeight="13.2"/>
  <cols>
    <col min="1" max="1" width="4.109375" style="21" customWidth="1"/>
    <col min="2" max="2" width="89" customWidth="1"/>
    <col min="3" max="3" width="2.88671875" customWidth="1"/>
    <col min="4" max="4" width="10.109375" style="38" customWidth="1"/>
    <col min="5" max="5" width="5.109375" customWidth="1"/>
    <col min="6" max="6" width="6.6640625" customWidth="1"/>
  </cols>
  <sheetData>
    <row r="1" spans="1:75" ht="17.399999999999999">
      <c r="A1" s="973" t="s">
        <v>558</v>
      </c>
      <c r="B1" s="988"/>
      <c r="C1" s="988"/>
      <c r="D1" s="988"/>
      <c r="E1" s="948"/>
      <c r="F1" s="948"/>
      <c r="G1" s="948"/>
    </row>
    <row r="2" spans="1:75" ht="15">
      <c r="A2" s="989" t="str">
        <f>Inputs!B2</f>
        <v>(For Rate Year Beginning April 1, 2026, Based on December 31, 2025 Data)</v>
      </c>
      <c r="B2" s="990"/>
      <c r="C2" s="990"/>
      <c r="D2" s="990"/>
      <c r="E2" s="948"/>
      <c r="F2" s="948"/>
      <c r="G2" s="948"/>
    </row>
    <row r="3" spans="1:75">
      <c r="B3" s="15"/>
      <c r="C3" s="21"/>
      <c r="E3" s="21"/>
    </row>
    <row r="4" spans="1:75">
      <c r="B4" s="35"/>
      <c r="C4" s="21"/>
      <c r="E4" s="21"/>
    </row>
    <row r="5" spans="1:75">
      <c r="B5" s="36" t="s">
        <v>408</v>
      </c>
    </row>
    <row r="6" spans="1:75">
      <c r="A6" s="21">
        <v>1</v>
      </c>
      <c r="B6" s="616" t="s">
        <v>1398</v>
      </c>
      <c r="C6" s="21"/>
      <c r="D6" s="192">
        <f>Inputs!D76</f>
        <v>182637</v>
      </c>
      <c r="F6" s="40"/>
      <c r="G6" s="22"/>
    </row>
    <row r="7" spans="1:75" ht="20.399999999999999" customHeight="1">
      <c r="A7" s="21">
        <v>2</v>
      </c>
      <c r="B7" s="37" t="s">
        <v>415</v>
      </c>
      <c r="C7" s="21"/>
      <c r="D7" s="515">
        <f>AppendixA!H37</f>
        <v>0.18939214124500989</v>
      </c>
      <c r="F7" s="40"/>
      <c r="G7" s="22"/>
    </row>
    <row r="8" spans="1:75" ht="20.399999999999999" customHeight="1">
      <c r="A8" s="21">
        <v>3</v>
      </c>
      <c r="B8" s="37" t="s">
        <v>236</v>
      </c>
      <c r="C8" s="21"/>
      <c r="D8" s="192">
        <f>D6*D7</f>
        <v>34590.012500564873</v>
      </c>
      <c r="F8" s="40"/>
      <c r="G8" s="22"/>
    </row>
    <row r="9" spans="1:75">
      <c r="D9" s="39"/>
    </row>
    <row r="10" spans="1:75" s="60" customFormat="1">
      <c r="A10" s="21"/>
      <c r="B10" s="36" t="s">
        <v>159</v>
      </c>
      <c r="C10"/>
      <c r="D10" s="287"/>
      <c r="E10"/>
      <c r="F10"/>
      <c r="G10" s="66"/>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60" customFormat="1" ht="18" customHeight="1">
      <c r="A11" s="21">
        <v>4</v>
      </c>
      <c r="B11" s="23" t="s">
        <v>702</v>
      </c>
      <c r="C11" s="21"/>
      <c r="D11" s="287">
        <f>Inputs!D117</f>
        <v>292894</v>
      </c>
      <c r="E11" s="221"/>
      <c r="F11" s="221"/>
      <c r="G11" s="22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60" customFormat="1" ht="18" customHeight="1">
      <c r="A12" s="21"/>
      <c r="B12" s="23"/>
      <c r="C12" s="21"/>
      <c r="D12" s="287"/>
      <c r="E12" s="221"/>
      <c r="F12" s="221"/>
      <c r="G12" s="221"/>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ht="19.95" customHeight="1">
      <c r="A13" s="991">
        <v>5</v>
      </c>
      <c r="B13" s="992" t="s">
        <v>703</v>
      </c>
      <c r="C13" s="987"/>
      <c r="D13" s="287">
        <f>Inputs!D119</f>
        <v>0</v>
      </c>
      <c r="E13" s="221"/>
      <c r="F13" s="221"/>
      <c r="G13" s="221"/>
    </row>
    <row r="14" spans="1:75" ht="6.6" customHeight="1">
      <c r="A14" s="991"/>
      <c r="B14" s="993"/>
      <c r="C14" s="987"/>
      <c r="D14" s="287"/>
      <c r="G14" s="59"/>
    </row>
    <row r="15" spans="1:75">
      <c r="A15" s="422"/>
      <c r="B15" s="22"/>
      <c r="C15" s="37"/>
      <c r="D15" s="287"/>
      <c r="G15" s="59"/>
    </row>
    <row r="16" spans="1:75">
      <c r="A16" s="21">
        <v>6</v>
      </c>
      <c r="B16" s="23" t="s">
        <v>696</v>
      </c>
      <c r="C16" s="23"/>
      <c r="D16" s="287">
        <f>Inputs!D114</f>
        <v>0</v>
      </c>
    </row>
    <row r="17" spans="1:5">
      <c r="B17" s="23"/>
      <c r="C17" s="23"/>
      <c r="D17" s="287"/>
    </row>
    <row r="18" spans="1:5">
      <c r="A18" s="21">
        <v>7</v>
      </c>
      <c r="B18" s="23" t="s">
        <v>697</v>
      </c>
      <c r="C18" s="23"/>
      <c r="D18" s="287">
        <f>Inputs!D118</f>
        <v>0</v>
      </c>
    </row>
    <row r="19" spans="1:5">
      <c r="B19" s="23"/>
      <c r="C19" s="23"/>
      <c r="D19" s="287"/>
    </row>
    <row r="20" spans="1:5">
      <c r="A20" s="994">
        <v>8</v>
      </c>
      <c r="B20" s="985" t="s">
        <v>989</v>
      </c>
      <c r="C20" s="23"/>
      <c r="D20" s="287"/>
    </row>
    <row r="21" spans="1:5">
      <c r="A21" s="994"/>
      <c r="B21" s="985"/>
      <c r="C21" s="23"/>
      <c r="D21" s="287">
        <f>'12 - Base Plan Funded Projects'!$K$128</f>
        <v>195107.51263239485</v>
      </c>
    </row>
    <row r="22" spans="1:5">
      <c r="A22" s="613"/>
      <c r="B22" s="600"/>
      <c r="C22" s="23"/>
      <c r="D22" s="287"/>
    </row>
    <row r="23" spans="1:5">
      <c r="A23" s="613">
        <v>9</v>
      </c>
      <c r="B23" s="616" t="s">
        <v>894</v>
      </c>
      <c r="C23" s="600"/>
      <c r="D23" s="611"/>
    </row>
    <row r="24" spans="1:5">
      <c r="A24" s="613"/>
      <c r="B24" s="600"/>
      <c r="C24" s="600"/>
      <c r="D24" s="611"/>
    </row>
    <row r="25" spans="1:5">
      <c r="A25" s="613">
        <v>10</v>
      </c>
      <c r="B25" s="600" t="s">
        <v>902</v>
      </c>
      <c r="C25" s="600"/>
      <c r="D25" s="612">
        <f>SUM(D8:D24)</f>
        <v>522591.52513295971</v>
      </c>
    </row>
    <row r="26" spans="1:5">
      <c r="A26" s="613"/>
      <c r="B26" s="52"/>
      <c r="C26" s="600"/>
      <c r="D26" s="614"/>
    </row>
    <row r="27" spans="1:5" ht="80.25" customHeight="1">
      <c r="A27" s="615"/>
      <c r="B27" s="282" t="s">
        <v>903</v>
      </c>
      <c r="C27" s="600"/>
      <c r="D27" s="614"/>
      <c r="E27" s="68"/>
    </row>
    <row r="28" spans="1:5">
      <c r="A28" s="54"/>
      <c r="B28" s="23"/>
      <c r="C28" s="43"/>
      <c r="D28" s="53"/>
    </row>
    <row r="29" spans="1:5" ht="64.2" customHeight="1">
      <c r="A29" s="54"/>
      <c r="B29" s="282" t="s">
        <v>15</v>
      </c>
      <c r="C29" s="24"/>
      <c r="D29" s="42"/>
      <c r="E29" s="68"/>
    </row>
    <row r="30" spans="1:5">
      <c r="A30" s="51"/>
      <c r="B30" s="23"/>
      <c r="C30" s="43"/>
      <c r="D30" s="55"/>
    </row>
    <row r="31" spans="1:5" ht="69" customHeight="1">
      <c r="A31" s="54"/>
      <c r="B31" s="283" t="s">
        <v>980</v>
      </c>
      <c r="C31" s="56"/>
      <c r="D31" s="42"/>
      <c r="E31" s="68"/>
    </row>
    <row r="33" spans="1:4">
      <c r="A33" s="947" t="s">
        <v>412</v>
      </c>
      <c r="B33" s="948"/>
      <c r="C33" s="948"/>
      <c r="D33" s="948"/>
    </row>
    <row r="34" spans="1:4">
      <c r="A34" s="947" t="s">
        <v>504</v>
      </c>
      <c r="B34" s="948"/>
      <c r="C34" s="948"/>
      <c r="D34" s="948"/>
    </row>
  </sheetData>
  <mergeCells count="9">
    <mergeCell ref="A33:D33"/>
    <mergeCell ref="A34:D34"/>
    <mergeCell ref="C13:C14"/>
    <mergeCell ref="A1:G1"/>
    <mergeCell ref="A2:G2"/>
    <mergeCell ref="A13:A14"/>
    <mergeCell ref="B13:B14"/>
    <mergeCell ref="B20:B21"/>
    <mergeCell ref="A20:A21"/>
  </mergeCells>
  <phoneticPr fontId="0" type="noConversion"/>
  <printOptions horizontalCentered="1"/>
  <pageMargins left="0.7" right="0.7" top="0.75" bottom="0.75" header="0.3" footer="0.3"/>
  <pageSetup scale="83" orientation="portrait" r:id="rId1"/>
  <headerFooter>
    <oddHeader>&amp;C&amp;"Arial,Bold"ADDENDUM 27 TO ATTACHMENT H, Page &amp;P of &amp;N
NorthWestern Corporation (South Dakota)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7"/>
  <sheetViews>
    <sheetView workbookViewId="0">
      <selection activeCell="K14" sqref="K14"/>
    </sheetView>
  </sheetViews>
  <sheetFormatPr defaultColWidth="9.109375" defaultRowHeight="13.2"/>
  <cols>
    <col min="1" max="1" width="4.6640625" style="102" customWidth="1"/>
    <col min="2" max="2" width="9.109375" style="102"/>
    <col min="3" max="3" width="10.6640625" style="102" customWidth="1"/>
    <col min="4" max="5" width="9.109375" style="102"/>
    <col min="6" max="6" width="0.88671875" style="102" customWidth="1"/>
    <col min="7" max="7" width="11.6640625" style="102" customWidth="1"/>
    <col min="8" max="8" width="0.88671875" style="102" customWidth="1"/>
    <col min="9" max="9" width="13.6640625" style="102" customWidth="1"/>
    <col min="10" max="10" width="0.88671875" style="102" customWidth="1"/>
    <col min="11" max="11" width="15.109375" style="102" customWidth="1"/>
    <col min="12" max="12" width="0.88671875" style="102" customWidth="1"/>
    <col min="13" max="13" width="8.6640625" style="102" customWidth="1"/>
    <col min="14" max="14" width="0.88671875" style="102" customWidth="1"/>
    <col min="15" max="15" width="18" style="102" customWidth="1"/>
    <col min="16" max="16384" width="9.109375" style="102"/>
  </cols>
  <sheetData>
    <row r="1" spans="1:15" ht="18.899999999999999" customHeight="1">
      <c r="A1" s="997" t="s">
        <v>130</v>
      </c>
      <c r="B1" s="998"/>
      <c r="C1" s="998"/>
      <c r="D1" s="998"/>
      <c r="E1" s="998"/>
      <c r="F1" s="998"/>
      <c r="G1" s="998"/>
      <c r="H1" s="998"/>
      <c r="I1" s="998"/>
      <c r="J1" s="998"/>
      <c r="K1" s="998"/>
      <c r="L1" s="998"/>
      <c r="M1" s="998"/>
      <c r="N1" s="998"/>
      <c r="O1" s="998"/>
    </row>
    <row r="2" spans="1:15" ht="18.899999999999999" customHeight="1">
      <c r="A2" s="999" t="str">
        <f>Inputs!B2</f>
        <v>(For Rate Year Beginning April 1, 2026, Based on December 31, 2025 Data)</v>
      </c>
      <c r="B2" s="1000"/>
      <c r="C2" s="1000"/>
      <c r="D2" s="1000"/>
      <c r="E2" s="1000"/>
      <c r="F2" s="1000"/>
      <c r="G2" s="1000"/>
      <c r="H2" s="1000"/>
      <c r="I2" s="1000"/>
      <c r="J2" s="1000"/>
      <c r="K2" s="1000"/>
      <c r="L2" s="1000"/>
      <c r="M2" s="1000"/>
      <c r="N2" s="1000"/>
      <c r="O2" s="1000"/>
    </row>
    <row r="3" spans="1:15" ht="19.2">
      <c r="B3" s="119"/>
      <c r="C3" s="103"/>
      <c r="D3" s="103"/>
      <c r="E3" s="103"/>
      <c r="F3" s="103"/>
      <c r="G3" s="103"/>
      <c r="H3" s="103"/>
      <c r="I3" s="103"/>
      <c r="J3" s="103"/>
      <c r="K3" s="103"/>
      <c r="L3" s="103"/>
      <c r="M3" s="103"/>
      <c r="N3" s="103"/>
    </row>
    <row r="4" spans="1:15" ht="12.9" customHeight="1">
      <c r="C4" s="1003" t="s">
        <v>194</v>
      </c>
      <c r="D4" s="1004"/>
      <c r="E4" s="1004"/>
      <c r="F4" s="1004"/>
      <c r="G4" s="1004"/>
      <c r="H4" s="1004"/>
      <c r="I4" s="1004"/>
      <c r="J4" s="1004"/>
      <c r="K4" s="1004"/>
      <c r="L4" s="1004"/>
      <c r="M4" s="1005"/>
    </row>
    <row r="5" spans="1:15" ht="12.9" customHeight="1">
      <c r="C5" s="1006"/>
      <c r="D5" s="1007"/>
      <c r="E5" s="1007"/>
      <c r="F5" s="1007"/>
      <c r="G5" s="1007"/>
      <c r="H5" s="1007"/>
      <c r="I5" s="1007"/>
      <c r="J5" s="1007"/>
      <c r="K5" s="1007"/>
      <c r="L5" s="1007"/>
      <c r="M5" s="1008"/>
    </row>
    <row r="6" spans="1:15" ht="12.9" customHeight="1">
      <c r="C6" s="1006"/>
      <c r="D6" s="1007"/>
      <c r="E6" s="1007"/>
      <c r="F6" s="1007"/>
      <c r="G6" s="1007"/>
      <c r="H6" s="1007"/>
      <c r="I6" s="1007"/>
      <c r="J6" s="1007"/>
      <c r="K6" s="1007"/>
      <c r="L6" s="1007"/>
      <c r="M6" s="1008"/>
    </row>
    <row r="7" spans="1:15" ht="12.9" customHeight="1">
      <c r="C7" s="1009"/>
      <c r="D7" s="1010"/>
      <c r="E7" s="1010"/>
      <c r="F7" s="1010"/>
      <c r="G7" s="1010"/>
      <c r="H7" s="1010"/>
      <c r="I7" s="1010"/>
      <c r="J7" s="1010"/>
      <c r="K7" s="1010"/>
      <c r="L7" s="1010"/>
      <c r="M7" s="1011"/>
    </row>
    <row r="11" spans="1:15">
      <c r="G11" s="995" t="s">
        <v>64</v>
      </c>
      <c r="H11" s="103"/>
      <c r="I11" s="995" t="s">
        <v>698</v>
      </c>
      <c r="J11" s="103"/>
      <c r="K11" s="1001" t="s">
        <v>407</v>
      </c>
      <c r="L11" s="117"/>
      <c r="M11" s="1012" t="s">
        <v>129</v>
      </c>
      <c r="O11" s="995" t="s">
        <v>137</v>
      </c>
    </row>
    <row r="12" spans="1:15" ht="24.75" customHeight="1">
      <c r="D12" s="103"/>
      <c r="G12" s="996"/>
      <c r="H12" s="103"/>
      <c r="I12" s="996"/>
      <c r="J12" s="103"/>
      <c r="K12" s="1002"/>
      <c r="L12" s="117"/>
      <c r="M12" s="1013"/>
      <c r="O12" s="996"/>
    </row>
    <row r="13" spans="1:15">
      <c r="A13" s="114"/>
      <c r="D13" s="103"/>
      <c r="G13" s="162"/>
      <c r="H13" s="103"/>
      <c r="I13" s="162"/>
      <c r="J13" s="103"/>
      <c r="K13" s="905">
        <v>46022</v>
      </c>
      <c r="L13" s="117"/>
      <c r="M13" s="117"/>
      <c r="O13" s="167" t="s">
        <v>128</v>
      </c>
    </row>
    <row r="14" spans="1:15">
      <c r="A14" s="114"/>
      <c r="D14" s="103"/>
      <c r="G14" s="162"/>
      <c r="H14" s="103"/>
      <c r="I14" s="162"/>
      <c r="J14" s="103"/>
      <c r="K14" s="163"/>
      <c r="L14" s="117"/>
      <c r="M14" s="117"/>
      <c r="O14" s="162"/>
    </row>
    <row r="15" spans="1:15">
      <c r="A15" s="114"/>
      <c r="D15" s="103"/>
      <c r="G15" s="162"/>
      <c r="H15" s="103"/>
      <c r="I15" s="162"/>
      <c r="J15" s="103"/>
      <c r="K15" s="166" t="s">
        <v>136</v>
      </c>
      <c r="L15" s="117"/>
      <c r="M15" s="165" t="s">
        <v>126</v>
      </c>
      <c r="O15" s="164" t="s">
        <v>125</v>
      </c>
    </row>
    <row r="16" spans="1:15">
      <c r="A16" s="114"/>
      <c r="D16" s="103"/>
      <c r="G16" s="162"/>
      <c r="H16" s="103"/>
      <c r="I16" s="162"/>
      <c r="J16" s="103"/>
      <c r="K16" s="163"/>
      <c r="L16" s="117"/>
      <c r="M16" s="117"/>
      <c r="O16" s="162"/>
    </row>
    <row r="17" spans="1:17">
      <c r="B17" s="108" t="s">
        <v>124</v>
      </c>
    </row>
    <row r="18" spans="1:17">
      <c r="A18" s="114" t="s">
        <v>244</v>
      </c>
    </row>
    <row r="19" spans="1:17">
      <c r="A19" s="159" t="s">
        <v>521</v>
      </c>
      <c r="B19" s="102" t="s">
        <v>592</v>
      </c>
      <c r="G19" s="292">
        <v>228.2</v>
      </c>
      <c r="H19" s="103"/>
      <c r="I19" s="103">
        <v>925</v>
      </c>
      <c r="K19" s="398">
        <f>+(Inputs!D30)</f>
        <v>732569</v>
      </c>
      <c r="M19" s="516">
        <f>AppendixA!H30</f>
        <v>6.8768013144020132E-2</v>
      </c>
      <c r="O19" s="517">
        <f>K19*M19</f>
        <v>50377.314620901685</v>
      </c>
    </row>
    <row r="20" spans="1:17">
      <c r="A20" s="103"/>
      <c r="G20" s="211"/>
      <c r="M20" s="516"/>
    </row>
    <row r="21" spans="1:17">
      <c r="A21" s="159" t="s">
        <v>518</v>
      </c>
      <c r="B21" s="102" t="s">
        <v>594</v>
      </c>
      <c r="G21" s="210"/>
      <c r="H21" s="103"/>
      <c r="I21" s="103"/>
      <c r="J21" s="103"/>
      <c r="K21" s="103"/>
      <c r="M21" s="516">
        <f>M19</f>
        <v>6.8768013144020132E-2</v>
      </c>
      <c r="O21" s="518">
        <f>K21*M21</f>
        <v>0</v>
      </c>
      <c r="P21" s="214"/>
      <c r="Q21" s="214"/>
    </row>
    <row r="23" spans="1:17">
      <c r="A23" s="159" t="s">
        <v>515</v>
      </c>
      <c r="B23" s="108" t="s">
        <v>102</v>
      </c>
      <c r="K23" s="161">
        <f>SUM(K19:K21)</f>
        <v>732569</v>
      </c>
      <c r="O23" s="161">
        <f>SUM(O19:O21)</f>
        <v>50377.314620901685</v>
      </c>
    </row>
    <row r="24" spans="1:17" ht="6" customHeight="1">
      <c r="A24" s="159"/>
      <c r="B24" s="108"/>
      <c r="K24" s="160"/>
      <c r="O24" s="160"/>
    </row>
    <row r="25" spans="1:17">
      <c r="A25" s="159" t="s">
        <v>512</v>
      </c>
      <c r="B25" s="102" t="s">
        <v>16</v>
      </c>
      <c r="K25" s="208">
        <f>Inputs!D30</f>
        <v>732569</v>
      </c>
    </row>
    <row r="28" spans="1:17" ht="15.6">
      <c r="B28" s="158" t="s">
        <v>593</v>
      </c>
    </row>
    <row r="29" spans="1:17">
      <c r="B29" s="102" t="s">
        <v>704</v>
      </c>
    </row>
    <row r="30" spans="1:17">
      <c r="B30" s="102" t="s">
        <v>368</v>
      </c>
    </row>
    <row r="36" spans="7:7">
      <c r="G36" s="103" t="s">
        <v>389</v>
      </c>
    </row>
    <row r="37" spans="7:7">
      <c r="G37" s="103" t="s">
        <v>504</v>
      </c>
    </row>
  </sheetData>
  <mergeCells count="8">
    <mergeCell ref="O11:O12"/>
    <mergeCell ref="A1:O1"/>
    <mergeCell ref="A2:O2"/>
    <mergeCell ref="G11:G12"/>
    <mergeCell ref="I11:I12"/>
    <mergeCell ref="K11:K12"/>
    <mergeCell ref="C4:M7"/>
    <mergeCell ref="M11:M12"/>
  </mergeCells>
  <phoneticPr fontId="41" type="noConversion"/>
  <printOptions horizontalCentered="1" verticalCentered="1"/>
  <pageMargins left="0.7" right="0.7" top="0.75" bottom="0.75" header="0.3" footer="0.3"/>
  <pageSetup scale="40" orientation="landscape" r:id="rId1"/>
  <headerFooter>
    <oddHeader>&amp;C&amp;"Arial,Bold"ADDENDUM 27 TO ATTACHMENT H, Page &amp;P of &amp;N
NorthWestern Corporation (South Dakota)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
  <dimension ref="A1:IQ62"/>
  <sheetViews>
    <sheetView topLeftCell="A23" zoomScale="60" zoomScaleNormal="60" workbookViewId="0">
      <selection activeCell="J9" sqref="J9"/>
    </sheetView>
  </sheetViews>
  <sheetFormatPr defaultColWidth="9.109375" defaultRowHeight="15"/>
  <cols>
    <col min="1" max="1" width="6.6640625" style="6" customWidth="1"/>
    <col min="2" max="2" width="2.6640625" style="6" customWidth="1"/>
    <col min="3" max="3" width="43" style="6" customWidth="1"/>
    <col min="4" max="4" width="15.44140625" style="6" customWidth="1"/>
    <col min="5" max="5" width="14.88671875" style="6" customWidth="1"/>
    <col min="6" max="6" width="40.109375" style="6" customWidth="1"/>
    <col min="7" max="7" width="19.6640625" style="6" customWidth="1"/>
    <col min="8" max="8" width="1.6640625" style="6" customWidth="1"/>
    <col min="9" max="9" width="20.88671875" style="6" customWidth="1"/>
    <col min="10" max="10" width="22.44140625" style="6" customWidth="1"/>
    <col min="11" max="11" width="35.33203125" style="6" customWidth="1"/>
    <col min="12" max="12" width="55.33203125" style="6" customWidth="1"/>
    <col min="13" max="13" width="1.6640625" style="6" customWidth="1"/>
    <col min="14" max="14" width="9.109375" style="6"/>
    <col min="15" max="15" width="10.88671875" style="6" bestFit="1" customWidth="1"/>
    <col min="16" max="16384" width="9.109375" style="6"/>
  </cols>
  <sheetData>
    <row r="1" spans="1:12" ht="7.5" customHeight="1"/>
    <row r="2" spans="1:12" ht="21" customHeight="1">
      <c r="A2" s="1046" t="s">
        <v>502</v>
      </c>
      <c r="B2" s="1047"/>
      <c r="C2" s="1047"/>
      <c r="D2" s="1047"/>
      <c r="E2" s="1047"/>
      <c r="F2" s="1047"/>
      <c r="G2" s="1047"/>
      <c r="H2" s="1047"/>
      <c r="I2" s="1047"/>
      <c r="J2" s="1047"/>
      <c r="K2" s="1047"/>
      <c r="L2" s="1047"/>
    </row>
    <row r="3" spans="1:12" ht="21" customHeight="1">
      <c r="A3" s="1048" t="str">
        <f>Inputs!B2</f>
        <v>(For Rate Year Beginning April 1, 2026, Based on December 31, 2025 Data)</v>
      </c>
      <c r="B3" s="938"/>
      <c r="C3" s="938"/>
      <c r="D3" s="938"/>
      <c r="E3" s="938"/>
      <c r="F3" s="938"/>
      <c r="G3" s="938"/>
      <c r="H3" s="938"/>
      <c r="I3" s="938"/>
      <c r="J3" s="938"/>
      <c r="K3" s="938"/>
      <c r="L3" s="938"/>
    </row>
    <row r="4" spans="1:12" ht="10.199999999999999" customHeight="1" thickBot="1">
      <c r="A4" s="195"/>
      <c r="B4" s="294"/>
      <c r="C4" s="294"/>
      <c r="D4" s="294"/>
      <c r="E4" s="294"/>
      <c r="F4" s="294"/>
      <c r="G4" s="294"/>
      <c r="H4" s="294"/>
      <c r="I4" s="294"/>
      <c r="J4" s="294"/>
      <c r="K4" s="294"/>
      <c r="L4" s="294"/>
    </row>
    <row r="5" spans="1:12" ht="31.8" thickBot="1">
      <c r="A5" s="1020" t="s">
        <v>457</v>
      </c>
      <c r="B5" s="1021"/>
      <c r="C5" s="1021"/>
      <c r="D5" s="1021"/>
      <c r="E5" s="1021"/>
      <c r="F5" s="1022"/>
      <c r="G5" s="235" t="s">
        <v>17</v>
      </c>
      <c r="H5" s="338"/>
      <c r="I5" s="235" t="s">
        <v>431</v>
      </c>
      <c r="J5" s="242" t="s">
        <v>599</v>
      </c>
      <c r="K5" s="1036" t="s">
        <v>393</v>
      </c>
      <c r="L5" s="1037"/>
    </row>
    <row r="6" spans="1:12" ht="15" customHeight="1">
      <c r="A6" s="246"/>
      <c r="B6" s="599"/>
      <c r="C6" s="6" t="s">
        <v>885</v>
      </c>
      <c r="D6" s="600"/>
      <c r="E6" s="1014" t="s">
        <v>886</v>
      </c>
      <c r="F6" s="1014"/>
      <c r="G6" s="606">
        <f>+Inputs!D9</f>
        <v>11629819</v>
      </c>
      <c r="I6" s="426"/>
      <c r="J6" s="403"/>
      <c r="K6" s="246"/>
      <c r="L6" s="399"/>
    </row>
    <row r="7" spans="1:12" ht="15" customHeight="1">
      <c r="A7" s="70"/>
      <c r="B7" s="599"/>
      <c r="C7" s="6" t="s">
        <v>887</v>
      </c>
      <c r="D7" s="600"/>
      <c r="E7" s="1014" t="s">
        <v>888</v>
      </c>
      <c r="F7" s="1014"/>
      <c r="G7" s="910">
        <f>+Inputs!D8</f>
        <v>9436198</v>
      </c>
      <c r="H7" s="411"/>
      <c r="I7" s="532"/>
      <c r="J7" s="407"/>
      <c r="K7" s="234"/>
      <c r="L7" s="405"/>
    </row>
    <row r="8" spans="1:12">
      <c r="A8" s="70">
        <f>+AppendixA!A79</f>
        <v>37</v>
      </c>
      <c r="B8" s="10"/>
      <c r="C8" s="6" t="s">
        <v>901</v>
      </c>
      <c r="D8" s="600"/>
      <c r="E8" s="1014" t="s">
        <v>900</v>
      </c>
      <c r="F8" s="1019"/>
      <c r="G8" s="608">
        <f>(G7+G6)/2</f>
        <v>10533008.5</v>
      </c>
      <c r="H8" s="411"/>
      <c r="I8" s="532">
        <f>AppendixA!H27</f>
        <v>7.4491583404762904E-2</v>
      </c>
      <c r="J8" s="407">
        <f>G8*I8</f>
        <v>784620.48118082655</v>
      </c>
      <c r="K8" s="234"/>
      <c r="L8" s="405"/>
    </row>
    <row r="9" spans="1:12" ht="16.2" thickBot="1">
      <c r="A9" s="71"/>
      <c r="B9" s="79"/>
      <c r="C9" s="73"/>
      <c r="D9" s="331"/>
      <c r="E9" s="362"/>
      <c r="F9" s="362"/>
      <c r="G9" s="408"/>
      <c r="H9" s="79"/>
      <c r="I9" s="427"/>
      <c r="J9" s="408"/>
      <c r="K9" s="104"/>
      <c r="L9" s="406"/>
    </row>
    <row r="10" spans="1:12" ht="9.75" customHeight="1">
      <c r="A10" s="10"/>
      <c r="B10" s="10"/>
      <c r="C10" s="8"/>
      <c r="D10" s="23"/>
      <c r="E10" s="361"/>
      <c r="F10" s="361"/>
      <c r="G10" s="10"/>
      <c r="H10" s="10"/>
      <c r="I10" s="428"/>
      <c r="J10" s="10"/>
      <c r="L10" s="1"/>
    </row>
    <row r="11" spans="1:12" ht="9.75" customHeight="1" thickBot="1">
      <c r="A11" s="10"/>
      <c r="B11" s="10"/>
      <c r="C11" s="8"/>
      <c r="D11" s="23"/>
      <c r="E11" s="361"/>
      <c r="F11" s="361"/>
      <c r="G11" s="10"/>
      <c r="H11" s="10"/>
      <c r="I11" s="428"/>
      <c r="J11" s="10"/>
      <c r="L11" s="1"/>
    </row>
    <row r="12" spans="1:12" ht="31.8" thickBot="1">
      <c r="A12" s="1016" t="s">
        <v>455</v>
      </c>
      <c r="B12" s="1017"/>
      <c r="C12" s="1017"/>
      <c r="D12" s="1017"/>
      <c r="E12" s="1017"/>
      <c r="F12" s="1018"/>
      <c r="G12" s="235" t="s">
        <v>17</v>
      </c>
      <c r="H12" s="235"/>
      <c r="I12" s="235" t="s">
        <v>889</v>
      </c>
      <c r="J12" s="242" t="s">
        <v>599</v>
      </c>
      <c r="K12" s="1036" t="s">
        <v>393</v>
      </c>
      <c r="L12" s="1037"/>
    </row>
    <row r="13" spans="1:12" ht="32.25" customHeight="1">
      <c r="A13" s="70"/>
      <c r="B13" s="10"/>
      <c r="C13" s="749" t="s">
        <v>890</v>
      </c>
      <c r="D13" s="600"/>
      <c r="E13" s="1014" t="s">
        <v>1399</v>
      </c>
      <c r="F13" s="1015"/>
      <c r="G13" s="606">
        <f>Inputs!D42</f>
        <v>5349699</v>
      </c>
      <c r="I13" s="426"/>
      <c r="J13" s="403"/>
      <c r="K13" s="246"/>
      <c r="L13" s="399"/>
    </row>
    <row r="14" spans="1:12" ht="30" customHeight="1">
      <c r="A14" s="70"/>
      <c r="B14" s="10"/>
      <c r="C14" s="628" t="s">
        <v>891</v>
      </c>
      <c r="D14" s="600"/>
      <c r="E14" s="1014" t="s">
        <v>1400</v>
      </c>
      <c r="F14" s="1015"/>
      <c r="G14" s="608">
        <f>Inputs!D43</f>
        <v>4869591</v>
      </c>
      <c r="H14" s="411"/>
      <c r="I14" s="410"/>
      <c r="K14" s="234"/>
      <c r="L14" s="405"/>
    </row>
    <row r="15" spans="1:12" ht="20.25" customHeight="1" thickBot="1">
      <c r="A15" s="71">
        <v>41</v>
      </c>
      <c r="B15" s="79"/>
      <c r="C15" s="74" t="s">
        <v>892</v>
      </c>
      <c r="D15" s="609"/>
      <c r="E15" s="1038" t="s">
        <v>893</v>
      </c>
      <c r="F15" s="1039"/>
      <c r="G15" s="607">
        <f>(G14+G13)/2</f>
        <v>5109645</v>
      </c>
      <c r="H15" s="610"/>
      <c r="I15" s="427">
        <f>G58</f>
        <v>0.35715415187229255</v>
      </c>
      <c r="J15" s="412">
        <f>G15*I15</f>
        <v>1824930.9263435001</v>
      </c>
      <c r="K15" s="104"/>
      <c r="L15" s="406"/>
    </row>
    <row r="16" spans="1:12" ht="6.75" customHeight="1">
      <c r="A16" s="10"/>
      <c r="B16" s="10"/>
      <c r="C16" s="8"/>
      <c r="D16" s="23"/>
      <c r="E16" s="361"/>
      <c r="F16" s="361"/>
      <c r="G16" s="10"/>
      <c r="H16" s="10"/>
      <c r="I16" s="428"/>
      <c r="J16" s="10"/>
      <c r="L16" s="1"/>
    </row>
    <row r="17" spans="1:12" ht="6.75" customHeight="1" thickBot="1">
      <c r="G17" s="10"/>
      <c r="H17" s="10"/>
      <c r="I17" s="428"/>
      <c r="J17" s="10"/>
      <c r="L17" s="1"/>
    </row>
    <row r="18" spans="1:12" ht="31.2" customHeight="1" thickBot="1">
      <c r="A18" s="1020" t="s">
        <v>197</v>
      </c>
      <c r="B18" s="1021"/>
      <c r="C18" s="1021"/>
      <c r="D18" s="1021"/>
      <c r="E18" s="1021"/>
      <c r="F18" s="1022"/>
      <c r="G18" s="242" t="s">
        <v>17</v>
      </c>
      <c r="H18" s="338"/>
      <c r="I18" s="423" t="s">
        <v>705</v>
      </c>
      <c r="J18" s="242" t="s">
        <v>599</v>
      </c>
      <c r="K18" s="1036" t="s">
        <v>393</v>
      </c>
      <c r="L18" s="1037"/>
    </row>
    <row r="19" spans="1:12" ht="15.6">
      <c r="A19" s="374"/>
      <c r="B19" s="364"/>
      <c r="C19" s="375"/>
      <c r="D19" s="365"/>
      <c r="E19" s="366"/>
      <c r="F19" s="376"/>
      <c r="G19" s="402"/>
      <c r="H19" s="370"/>
      <c r="I19" s="429"/>
      <c r="J19" s="402"/>
      <c r="K19" s="246"/>
      <c r="L19" s="399"/>
    </row>
    <row r="20" spans="1:12" ht="32.4" customHeight="1" thickBot="1">
      <c r="A20" s="237">
        <f>+AppendixA!A126</f>
        <v>63</v>
      </c>
      <c r="B20" s="238"/>
      <c r="C20" s="239" t="str">
        <f>+AppendixA!C126</f>
        <v>Regulatory Commission Exp Account 928</v>
      </c>
      <c r="D20" s="328"/>
      <c r="E20" s="1040" t="s">
        <v>1401</v>
      </c>
      <c r="F20" s="1041"/>
      <c r="G20" s="401">
        <f>Inputs!D57</f>
        <v>0</v>
      </c>
      <c r="H20" s="240"/>
      <c r="I20" s="430">
        <v>0</v>
      </c>
      <c r="J20" s="401">
        <f>+Inputs!D110</f>
        <v>0</v>
      </c>
      <c r="K20" s="1042"/>
      <c r="L20" s="1043"/>
    </row>
    <row r="21" spans="1:12" ht="7.5" customHeight="1">
      <c r="A21" s="288"/>
      <c r="B21" s="371"/>
      <c r="C21" s="243"/>
      <c r="D21" s="288"/>
      <c r="E21" s="243"/>
      <c r="F21" s="243"/>
      <c r="G21" s="372"/>
      <c r="H21" s="372"/>
      <c r="I21" s="424"/>
      <c r="J21" s="373"/>
      <c r="K21" s="81"/>
      <c r="L21" s="81"/>
    </row>
    <row r="22" spans="1:12" ht="7.5" customHeight="1" thickBot="1">
      <c r="A22" s="10"/>
      <c r="B22" s="7"/>
      <c r="C22" s="8"/>
      <c r="D22" s="10"/>
      <c r="E22" s="10"/>
      <c r="F22" s="8"/>
      <c r="G22" s="78"/>
      <c r="H22" s="78"/>
      <c r="I22" s="428"/>
      <c r="J22" s="78"/>
      <c r="K22" s="81"/>
      <c r="L22" s="81"/>
    </row>
    <row r="23" spans="1:12" ht="31.8" thickBot="1">
      <c r="A23" s="1020" t="s">
        <v>615</v>
      </c>
      <c r="B23" s="1021"/>
      <c r="C23" s="1021"/>
      <c r="D23" s="1021"/>
      <c r="E23" s="1021"/>
      <c r="F23" s="1022"/>
      <c r="G23" s="235" t="s">
        <v>17</v>
      </c>
      <c r="H23" s="338"/>
      <c r="I23" s="425" t="s">
        <v>329</v>
      </c>
      <c r="J23" s="242" t="s">
        <v>599</v>
      </c>
      <c r="K23" s="1036" t="s">
        <v>393</v>
      </c>
      <c r="L23" s="1037"/>
    </row>
    <row r="24" spans="1:12" ht="15.6">
      <c r="A24" s="246"/>
      <c r="B24" s="363"/>
      <c r="C24" s="364"/>
      <c r="D24" s="365"/>
      <c r="E24" s="366"/>
      <c r="F24" s="367"/>
      <c r="G24" s="409"/>
      <c r="H24" s="10"/>
      <c r="I24" s="429"/>
      <c r="J24" s="409"/>
      <c r="K24" s="1055" t="s">
        <v>761</v>
      </c>
      <c r="L24" s="1056"/>
    </row>
    <row r="25" spans="1:12" ht="32.25" customHeight="1">
      <c r="A25" s="245">
        <f>AppendixA!A127</f>
        <v>64</v>
      </c>
      <c r="B25" s="10"/>
      <c r="C25" s="628" t="s">
        <v>622</v>
      </c>
      <c r="D25" s="23"/>
      <c r="E25" s="1014" t="s">
        <v>1402</v>
      </c>
      <c r="F25" s="1015"/>
      <c r="G25" s="410">
        <f>Inputs!D106</f>
        <v>32728</v>
      </c>
      <c r="H25" s="411"/>
      <c r="I25" s="533">
        <f>+AppendixA!H37</f>
        <v>0.18939214124500989</v>
      </c>
      <c r="J25" s="407">
        <f>G25*I25</f>
        <v>6198.4259986666839</v>
      </c>
      <c r="K25" s="1057"/>
      <c r="L25" s="1058"/>
    </row>
    <row r="26" spans="1:12" ht="15.6" thickBot="1">
      <c r="A26" s="71"/>
      <c r="B26" s="79"/>
      <c r="C26" s="73"/>
      <c r="D26" s="331"/>
      <c r="E26" s="368"/>
      <c r="F26" s="75"/>
      <c r="G26" s="404"/>
      <c r="H26" s="74"/>
      <c r="I26" s="431"/>
      <c r="J26" s="408"/>
      <c r="K26" s="1059"/>
      <c r="L26" s="1060"/>
    </row>
    <row r="27" spans="1:12" ht="9.75" customHeight="1">
      <c r="A27" s="10"/>
      <c r="B27" s="10"/>
      <c r="C27" s="8"/>
      <c r="D27" s="23"/>
      <c r="E27" s="349"/>
      <c r="I27" s="432"/>
      <c r="J27" s="10"/>
      <c r="L27" s="1"/>
    </row>
    <row r="28" spans="1:12" ht="9.75" customHeight="1" thickBot="1">
      <c r="A28" s="10"/>
      <c r="B28" s="10"/>
      <c r="C28" s="8"/>
      <c r="D28" s="23"/>
      <c r="E28" s="360"/>
      <c r="F28" s="361"/>
      <c r="I28" s="432"/>
      <c r="J28" s="10"/>
      <c r="L28" s="1"/>
    </row>
    <row r="29" spans="1:12" ht="31.8" thickBot="1">
      <c r="A29" s="1020" t="s">
        <v>196</v>
      </c>
      <c r="B29" s="1021"/>
      <c r="C29" s="1021"/>
      <c r="D29" s="1021"/>
      <c r="E29" s="1021"/>
      <c r="F29" s="1022"/>
      <c r="G29" s="235" t="s">
        <v>17</v>
      </c>
      <c r="H29" s="338"/>
      <c r="I29" s="425" t="s">
        <v>231</v>
      </c>
      <c r="J29" s="242" t="s">
        <v>599</v>
      </c>
      <c r="K29" s="1036" t="s">
        <v>393</v>
      </c>
      <c r="L29" s="1037"/>
    </row>
    <row r="30" spans="1:12">
      <c r="A30" s="70"/>
      <c r="B30" s="7"/>
      <c r="C30" s="8"/>
      <c r="E30" s="10"/>
      <c r="F30" s="236"/>
      <c r="G30" s="400"/>
      <c r="H30" s="78"/>
      <c r="I30" s="433"/>
      <c r="J30" s="400"/>
      <c r="K30" s="413"/>
      <c r="L30" s="414"/>
    </row>
    <row r="31" spans="1:12">
      <c r="A31" s="70">
        <f>+AppendixA!A215</f>
        <v>103</v>
      </c>
      <c r="B31" s="8" t="s">
        <v>496</v>
      </c>
      <c r="C31" s="8"/>
      <c r="E31" s="76" t="s">
        <v>689</v>
      </c>
      <c r="G31" s="407">
        <f>Inputs!D54</f>
        <v>0</v>
      </c>
      <c r="H31" s="78"/>
      <c r="I31" s="532">
        <f>AppendixA!H27</f>
        <v>7.4491583404762904E-2</v>
      </c>
      <c r="J31" s="407">
        <f>G31*I31</f>
        <v>0</v>
      </c>
      <c r="K31" s="1049"/>
      <c r="L31" s="1050"/>
    </row>
    <row r="32" spans="1:12" ht="15.6" thickBot="1">
      <c r="A32" s="71"/>
      <c r="B32" s="72"/>
      <c r="C32" s="73"/>
      <c r="D32" s="74"/>
      <c r="E32" s="79"/>
      <c r="F32" s="75"/>
      <c r="G32" s="412"/>
      <c r="H32" s="82"/>
      <c r="I32" s="228"/>
      <c r="J32" s="412"/>
      <c r="K32" s="1042"/>
      <c r="L32" s="1043"/>
    </row>
    <row r="33" spans="1:251" ht="11.25" customHeight="1">
      <c r="A33" s="10"/>
      <c r="B33" s="7"/>
      <c r="C33" s="8"/>
      <c r="E33" s="10"/>
      <c r="G33" s="78"/>
      <c r="H33" s="78"/>
      <c r="I33" s="78"/>
      <c r="J33" s="78"/>
      <c r="K33" s="81"/>
      <c r="L33" s="81"/>
    </row>
    <row r="34" spans="1:251" ht="11.25" customHeight="1" thickBot="1"/>
    <row r="35" spans="1:251" ht="63" thickBot="1">
      <c r="A35" s="1051" t="s">
        <v>625</v>
      </c>
      <c r="B35" s="1052"/>
      <c r="C35" s="1052"/>
      <c r="D35" s="1052"/>
      <c r="E35" s="1052"/>
      <c r="F35" s="1053"/>
      <c r="G35" s="242" t="str">
        <f>+C38</f>
        <v>Revenues from Direct Assigned Transmission Facilities</v>
      </c>
      <c r="H35" s="29"/>
      <c r="I35" s="1036" t="s">
        <v>200</v>
      </c>
      <c r="J35" s="1054"/>
      <c r="K35" s="1054"/>
      <c r="L35" s="1037"/>
    </row>
    <row r="36" spans="1:251" ht="25.5" customHeight="1">
      <c r="A36" s="327"/>
      <c r="B36" s="1"/>
      <c r="C36" s="1"/>
      <c r="D36" s="1"/>
      <c r="E36" s="329"/>
      <c r="F36" s="330"/>
      <c r="G36" s="234"/>
      <c r="I36" s="1025" t="s">
        <v>623</v>
      </c>
      <c r="J36" s="1026"/>
      <c r="K36" s="1026"/>
      <c r="L36" s="1027"/>
    </row>
    <row r="37" spans="1:251" ht="8.25" customHeight="1">
      <c r="A37" s="234"/>
      <c r="F37" s="76"/>
      <c r="G37" s="327" t="s">
        <v>441</v>
      </c>
      <c r="H37" s="5"/>
      <c r="I37" s="1028"/>
      <c r="J37" s="1029"/>
      <c r="K37" s="1029"/>
      <c r="L37" s="1030"/>
      <c r="N37" s="341"/>
    </row>
    <row r="38" spans="1:251" ht="15.6">
      <c r="A38" s="245">
        <f>+AppendixA!A247</f>
        <v>117</v>
      </c>
      <c r="B38" s="241"/>
      <c r="C38" s="241" t="str">
        <f>+AppendixA!C247</f>
        <v>Revenues from Direct Assigned Transmission Facilities</v>
      </c>
      <c r="D38" s="321"/>
      <c r="E38" s="1034" t="s">
        <v>690</v>
      </c>
      <c r="F38" s="1035"/>
      <c r="G38" s="264">
        <f>Inputs!D114</f>
        <v>0</v>
      </c>
      <c r="H38" s="329"/>
      <c r="I38" s="1028"/>
      <c r="J38" s="1029"/>
      <c r="K38" s="1029"/>
      <c r="L38" s="1030"/>
    </row>
    <row r="39" spans="1:251" ht="14.25" customHeight="1" thickBot="1">
      <c r="A39" s="104"/>
      <c r="B39" s="74"/>
      <c r="C39" s="74"/>
      <c r="D39" s="74"/>
      <c r="E39" s="74"/>
      <c r="F39" s="75"/>
      <c r="G39" s="104"/>
      <c r="H39" s="74"/>
      <c r="I39" s="1031"/>
      <c r="J39" s="1032"/>
      <c r="K39" s="1032"/>
      <c r="L39" s="1033"/>
    </row>
    <row r="40" spans="1:251" ht="11.25" customHeight="1">
      <c r="I40" s="90"/>
      <c r="J40" s="90"/>
      <c r="K40" s="90"/>
      <c r="L40" s="90"/>
    </row>
    <row r="41" spans="1:251" ht="11.25" customHeight="1" thickBot="1">
      <c r="L41" s="1"/>
    </row>
    <row r="42" spans="1:251" ht="31.8" thickBot="1">
      <c r="A42" s="1020" t="s">
        <v>202</v>
      </c>
      <c r="B42" s="1021"/>
      <c r="C42" s="1021"/>
      <c r="D42" s="1021"/>
      <c r="E42" s="1021"/>
      <c r="F42" s="1022"/>
      <c r="G42" s="235" t="s">
        <v>492</v>
      </c>
      <c r="H42" s="338"/>
      <c r="I42" s="235" t="s">
        <v>619</v>
      </c>
      <c r="J42" s="242" t="s">
        <v>599</v>
      </c>
      <c r="K42" s="1036" t="s">
        <v>393</v>
      </c>
      <c r="L42" s="1037"/>
      <c r="N42" s="10"/>
      <c r="O42" s="10"/>
      <c r="P42" s="8"/>
      <c r="Q42" s="10"/>
      <c r="R42" s="10"/>
      <c r="S42" s="10"/>
      <c r="T42" s="10"/>
      <c r="U42" s="10"/>
      <c r="V42" s="8"/>
      <c r="W42" s="10"/>
      <c r="X42" s="10"/>
      <c r="Y42" s="10"/>
      <c r="Z42" s="10"/>
      <c r="AA42" s="10"/>
      <c r="AB42" s="8"/>
      <c r="AC42" s="10"/>
      <c r="AD42" s="10"/>
      <c r="AE42" s="10"/>
      <c r="AF42" s="10"/>
      <c r="AG42" s="10"/>
      <c r="AH42" s="8"/>
      <c r="AI42" s="10"/>
      <c r="AJ42" s="10"/>
      <c r="AK42" s="10"/>
      <c r="AL42" s="10"/>
      <c r="AM42" s="10"/>
      <c r="AN42" s="8"/>
      <c r="AO42" s="10"/>
      <c r="AP42" s="10"/>
      <c r="AQ42" s="10"/>
      <c r="AR42" s="10"/>
      <c r="AS42" s="10"/>
      <c r="AT42" s="8"/>
      <c r="AU42" s="10"/>
      <c r="AV42" s="10"/>
      <c r="AW42" s="10"/>
      <c r="AX42" s="10"/>
      <c r="AY42" s="10"/>
      <c r="AZ42" s="8"/>
      <c r="BA42" s="10"/>
      <c r="BB42" s="10"/>
      <c r="BC42" s="10"/>
      <c r="BD42" s="10"/>
      <c r="BE42" s="10"/>
      <c r="BF42" s="8"/>
      <c r="BG42" s="10"/>
      <c r="BH42" s="10"/>
      <c r="BI42" s="10"/>
      <c r="BJ42" s="10"/>
      <c r="BK42" s="10"/>
      <c r="BL42" s="8"/>
      <c r="BM42" s="10"/>
      <c r="BN42" s="10"/>
      <c r="BO42" s="10"/>
      <c r="BP42" s="10"/>
      <c r="BQ42" s="10"/>
      <c r="BR42" s="8"/>
      <c r="BS42" s="10"/>
      <c r="BT42" s="10"/>
      <c r="BU42" s="10"/>
      <c r="BV42" s="10"/>
      <c r="BW42" s="10"/>
      <c r="BX42" s="8"/>
      <c r="BY42" s="10"/>
      <c r="BZ42" s="10"/>
      <c r="CA42" s="10"/>
      <c r="CB42" s="10"/>
      <c r="CC42" s="10"/>
      <c r="CD42" s="8"/>
      <c r="CE42" s="10"/>
      <c r="CF42" s="10"/>
      <c r="CG42" s="10"/>
      <c r="CH42" s="10"/>
      <c r="CI42" s="10"/>
      <c r="CJ42" s="8"/>
      <c r="CK42" s="10"/>
      <c r="CL42" s="10"/>
      <c r="CM42" s="10"/>
      <c r="CN42" s="10"/>
      <c r="CO42" s="10"/>
      <c r="CP42" s="8"/>
      <c r="CQ42" s="10"/>
      <c r="CR42" s="10"/>
      <c r="CS42" s="10"/>
      <c r="CT42" s="10"/>
      <c r="CU42" s="10"/>
      <c r="CV42" s="8"/>
      <c r="CW42" s="10"/>
      <c r="CX42" s="10"/>
      <c r="CY42" s="10"/>
      <c r="CZ42" s="10"/>
      <c r="DA42" s="10"/>
      <c r="DB42" s="8"/>
      <c r="DC42" s="10"/>
      <c r="DD42" s="10"/>
      <c r="DE42" s="10"/>
      <c r="DF42" s="10"/>
      <c r="DG42" s="10"/>
      <c r="DH42" s="8"/>
      <c r="DI42" s="10"/>
      <c r="DJ42" s="10"/>
      <c r="DK42" s="10"/>
      <c r="DL42" s="10"/>
      <c r="DM42" s="10"/>
      <c r="DN42" s="8"/>
      <c r="DO42" s="10"/>
      <c r="DP42" s="10"/>
      <c r="DQ42" s="10"/>
      <c r="DR42" s="10"/>
      <c r="DS42" s="10"/>
      <c r="DT42" s="8"/>
      <c r="DU42" s="10"/>
      <c r="DV42" s="10"/>
      <c r="DW42" s="10"/>
      <c r="DX42" s="10"/>
      <c r="DY42" s="10"/>
      <c r="DZ42" s="8"/>
      <c r="EA42" s="10"/>
      <c r="EB42" s="10"/>
      <c r="EC42" s="10"/>
      <c r="ED42" s="10"/>
      <c r="EE42" s="10"/>
      <c r="EF42" s="8"/>
      <c r="EG42" s="10"/>
      <c r="EH42" s="10"/>
      <c r="EI42" s="10"/>
      <c r="EJ42" s="10"/>
      <c r="EK42" s="10"/>
      <c r="EL42" s="8"/>
      <c r="EM42" s="10"/>
      <c r="EN42" s="10"/>
      <c r="EO42" s="10"/>
      <c r="EP42" s="10"/>
      <c r="EQ42" s="10"/>
      <c r="ER42" s="8"/>
      <c r="ES42" s="10"/>
      <c r="ET42" s="10"/>
      <c r="EU42" s="10"/>
      <c r="EV42" s="10"/>
      <c r="EW42" s="10"/>
      <c r="EX42" s="8"/>
      <c r="EY42" s="10"/>
      <c r="EZ42" s="10"/>
      <c r="FA42" s="10"/>
      <c r="FB42" s="10"/>
      <c r="FC42" s="10"/>
      <c r="FD42" s="8"/>
      <c r="FE42" s="10"/>
      <c r="FF42" s="10"/>
      <c r="FG42" s="10"/>
      <c r="FH42" s="10"/>
      <c r="FI42" s="10"/>
      <c r="FJ42" s="8"/>
      <c r="FK42" s="10"/>
      <c r="FL42" s="10"/>
      <c r="FM42" s="10"/>
      <c r="FN42" s="10"/>
      <c r="FO42" s="10"/>
      <c r="FP42" s="8"/>
      <c r="FQ42" s="10"/>
      <c r="FR42" s="10"/>
      <c r="FS42" s="10"/>
      <c r="FT42" s="10"/>
      <c r="FU42" s="10"/>
      <c r="FV42" s="8"/>
      <c r="FW42" s="10"/>
      <c r="FX42" s="10"/>
      <c r="FY42" s="10"/>
      <c r="FZ42" s="10"/>
      <c r="GA42" s="10"/>
      <c r="GB42" s="8"/>
      <c r="GC42" s="10"/>
      <c r="GD42" s="10"/>
      <c r="GE42" s="10"/>
      <c r="GF42" s="10"/>
      <c r="GG42" s="10"/>
      <c r="GH42" s="8"/>
      <c r="GI42" s="10"/>
      <c r="GJ42" s="10"/>
      <c r="GK42" s="10"/>
      <c r="GL42" s="10"/>
      <c r="GM42" s="10"/>
      <c r="GN42" s="8"/>
      <c r="GO42" s="10"/>
      <c r="GP42" s="10"/>
      <c r="GQ42" s="10"/>
      <c r="GR42" s="10"/>
      <c r="GS42" s="10"/>
      <c r="GT42" s="8"/>
      <c r="GU42" s="10"/>
      <c r="GV42" s="10"/>
      <c r="GW42" s="10"/>
      <c r="GX42" s="10"/>
      <c r="GY42" s="10"/>
      <c r="GZ42" s="8"/>
      <c r="HA42" s="10"/>
      <c r="HB42" s="10"/>
      <c r="HC42" s="10"/>
      <c r="HD42" s="10"/>
      <c r="HE42" s="10"/>
      <c r="HF42" s="8"/>
      <c r="HG42" s="10"/>
      <c r="HH42" s="10"/>
      <c r="HI42" s="10"/>
      <c r="HJ42" s="10"/>
      <c r="HK42" s="10"/>
      <c r="HL42" s="8"/>
      <c r="HM42" s="10"/>
      <c r="HN42" s="10"/>
      <c r="HO42" s="10"/>
      <c r="HP42" s="10"/>
      <c r="HQ42" s="10"/>
      <c r="HR42" s="8"/>
      <c r="HS42" s="10"/>
      <c r="HT42" s="10"/>
      <c r="HU42" s="10"/>
      <c r="HV42" s="10"/>
      <c r="HW42" s="10"/>
      <c r="HX42" s="8"/>
      <c r="HY42" s="10"/>
      <c r="HZ42" s="10"/>
      <c r="IA42" s="10"/>
      <c r="IB42" s="10"/>
      <c r="IC42" s="10"/>
      <c r="ID42" s="8"/>
      <c r="IE42" s="10"/>
      <c r="IF42" s="10"/>
      <c r="IG42" s="10"/>
      <c r="IH42" s="10"/>
      <c r="II42" s="10"/>
      <c r="IJ42" s="8"/>
      <c r="IK42" s="10"/>
      <c r="IL42" s="10"/>
      <c r="IM42" s="10"/>
      <c r="IN42" s="10"/>
      <c r="IO42" s="10"/>
      <c r="IP42" s="8"/>
      <c r="IQ42" s="10"/>
    </row>
    <row r="43" spans="1:251" ht="15.6">
      <c r="A43" s="369"/>
      <c r="B43" s="370"/>
      <c r="C43" s="370"/>
      <c r="D43" s="370"/>
      <c r="E43" s="370"/>
      <c r="F43" s="370"/>
      <c r="G43" s="435"/>
      <c r="H43" s="29"/>
      <c r="I43" s="439"/>
      <c r="J43" s="434"/>
      <c r="K43" s="415"/>
      <c r="L43" s="416"/>
      <c r="N43" s="10"/>
      <c r="O43" s="10"/>
      <c r="P43" s="8"/>
      <c r="Q43" s="10"/>
      <c r="R43" s="10"/>
      <c r="S43" s="10"/>
      <c r="T43" s="10"/>
      <c r="U43" s="10"/>
      <c r="V43" s="8"/>
      <c r="W43" s="10"/>
      <c r="X43" s="10"/>
      <c r="Y43" s="10"/>
      <c r="Z43" s="10"/>
      <c r="AA43" s="10"/>
      <c r="AB43" s="8"/>
      <c r="AC43" s="10"/>
      <c r="AD43" s="10"/>
      <c r="AE43" s="10"/>
      <c r="AF43" s="10"/>
      <c r="AG43" s="10"/>
      <c r="AH43" s="8"/>
      <c r="AI43" s="10"/>
      <c r="AJ43" s="10"/>
      <c r="AK43" s="10"/>
      <c r="AL43" s="10"/>
      <c r="AM43" s="10"/>
      <c r="AN43" s="8"/>
      <c r="AO43" s="10"/>
      <c r="AP43" s="10"/>
      <c r="AQ43" s="10"/>
      <c r="AR43" s="10"/>
      <c r="AS43" s="10"/>
      <c r="AT43" s="8"/>
      <c r="AU43" s="10"/>
      <c r="AV43" s="10"/>
      <c r="AW43" s="10"/>
      <c r="AX43" s="10"/>
      <c r="AY43" s="10"/>
      <c r="AZ43" s="8"/>
      <c r="BA43" s="10"/>
      <c r="BB43" s="10"/>
      <c r="BC43" s="10"/>
      <c r="BD43" s="10"/>
      <c r="BE43" s="10"/>
      <c r="BF43" s="8"/>
      <c r="BG43" s="10"/>
      <c r="BH43" s="10"/>
      <c r="BI43" s="10"/>
      <c r="BJ43" s="10"/>
      <c r="BK43" s="10"/>
      <c r="BL43" s="8"/>
      <c r="BM43" s="10"/>
      <c r="BN43" s="10"/>
      <c r="BO43" s="10"/>
      <c r="BP43" s="10"/>
      <c r="BQ43" s="10"/>
      <c r="BR43" s="8"/>
      <c r="BS43" s="10"/>
      <c r="BT43" s="10"/>
      <c r="BU43" s="10"/>
      <c r="BV43" s="10"/>
      <c r="BW43" s="10"/>
      <c r="BX43" s="8"/>
      <c r="BY43" s="10"/>
      <c r="BZ43" s="10"/>
      <c r="CA43" s="10"/>
      <c r="CB43" s="10"/>
      <c r="CC43" s="10"/>
      <c r="CD43" s="8"/>
      <c r="CE43" s="10"/>
      <c r="CF43" s="10"/>
      <c r="CG43" s="10"/>
      <c r="CH43" s="10"/>
      <c r="CI43" s="10"/>
      <c r="CJ43" s="8"/>
      <c r="CK43" s="10"/>
      <c r="CL43" s="10"/>
      <c r="CM43" s="10"/>
      <c r="CN43" s="10"/>
      <c r="CO43" s="10"/>
      <c r="CP43" s="8"/>
      <c r="CQ43" s="10"/>
      <c r="CR43" s="10"/>
      <c r="CS43" s="10"/>
      <c r="CT43" s="10"/>
      <c r="CU43" s="10"/>
      <c r="CV43" s="8"/>
      <c r="CW43" s="10"/>
      <c r="CX43" s="10"/>
      <c r="CY43" s="10"/>
      <c r="CZ43" s="10"/>
      <c r="DA43" s="10"/>
      <c r="DB43" s="8"/>
      <c r="DC43" s="10"/>
      <c r="DD43" s="10"/>
      <c r="DE43" s="10"/>
      <c r="DF43" s="10"/>
      <c r="DG43" s="10"/>
      <c r="DH43" s="8"/>
      <c r="DI43" s="10"/>
      <c r="DJ43" s="10"/>
      <c r="DK43" s="10"/>
      <c r="DL43" s="10"/>
      <c r="DM43" s="10"/>
      <c r="DN43" s="8"/>
      <c r="DO43" s="10"/>
      <c r="DP43" s="10"/>
      <c r="DQ43" s="10"/>
      <c r="DR43" s="10"/>
      <c r="DS43" s="10"/>
      <c r="DT43" s="8"/>
      <c r="DU43" s="10"/>
      <c r="DV43" s="10"/>
      <c r="DW43" s="10"/>
      <c r="DX43" s="10"/>
      <c r="DY43" s="10"/>
      <c r="DZ43" s="8"/>
      <c r="EA43" s="10"/>
      <c r="EB43" s="10"/>
      <c r="EC43" s="10"/>
      <c r="ED43" s="10"/>
      <c r="EE43" s="10"/>
      <c r="EF43" s="8"/>
      <c r="EG43" s="10"/>
      <c r="EH43" s="10"/>
      <c r="EI43" s="10"/>
      <c r="EJ43" s="10"/>
      <c r="EK43" s="10"/>
      <c r="EL43" s="8"/>
      <c r="EM43" s="10"/>
      <c r="EN43" s="10"/>
      <c r="EO43" s="10"/>
      <c r="EP43" s="10"/>
      <c r="EQ43" s="10"/>
      <c r="ER43" s="8"/>
      <c r="ES43" s="10"/>
      <c r="ET43" s="10"/>
      <c r="EU43" s="10"/>
      <c r="EV43" s="10"/>
      <c r="EW43" s="10"/>
      <c r="EX43" s="8"/>
      <c r="EY43" s="10"/>
      <c r="EZ43" s="10"/>
      <c r="FA43" s="10"/>
      <c r="FB43" s="10"/>
      <c r="FC43" s="10"/>
      <c r="FD43" s="8"/>
      <c r="FE43" s="10"/>
      <c r="FF43" s="10"/>
      <c r="FG43" s="10"/>
      <c r="FH43" s="10"/>
      <c r="FI43" s="10"/>
      <c r="FJ43" s="8"/>
      <c r="FK43" s="10"/>
      <c r="FL43" s="10"/>
      <c r="FM43" s="10"/>
      <c r="FN43" s="10"/>
      <c r="FO43" s="10"/>
      <c r="FP43" s="8"/>
      <c r="FQ43" s="10"/>
      <c r="FR43" s="10"/>
      <c r="FS43" s="10"/>
      <c r="FT43" s="10"/>
      <c r="FU43" s="10"/>
      <c r="FV43" s="8"/>
      <c r="FW43" s="10"/>
      <c r="FX43" s="10"/>
      <c r="FY43" s="10"/>
      <c r="FZ43" s="10"/>
      <c r="GA43" s="10"/>
      <c r="GB43" s="8"/>
      <c r="GC43" s="10"/>
      <c r="GD43" s="10"/>
      <c r="GE43" s="10"/>
      <c r="GF43" s="10"/>
      <c r="GG43" s="10"/>
      <c r="GH43" s="8"/>
      <c r="GI43" s="10"/>
      <c r="GJ43" s="10"/>
      <c r="GK43" s="10"/>
      <c r="GL43" s="10"/>
      <c r="GM43" s="10"/>
      <c r="GN43" s="8"/>
      <c r="GO43" s="10"/>
      <c r="GP43" s="10"/>
      <c r="GQ43" s="10"/>
      <c r="GR43" s="10"/>
      <c r="GS43" s="10"/>
      <c r="GT43" s="8"/>
      <c r="GU43" s="10"/>
      <c r="GV43" s="10"/>
      <c r="GW43" s="10"/>
      <c r="GX43" s="10"/>
      <c r="GY43" s="10"/>
      <c r="GZ43" s="8"/>
      <c r="HA43" s="10"/>
      <c r="HB43" s="10"/>
      <c r="HC43" s="10"/>
      <c r="HD43" s="10"/>
      <c r="HE43" s="10"/>
      <c r="HF43" s="8"/>
      <c r="HG43" s="10"/>
      <c r="HH43" s="10"/>
      <c r="HI43" s="10"/>
      <c r="HJ43" s="10"/>
      <c r="HK43" s="10"/>
      <c r="HL43" s="8"/>
      <c r="HM43" s="10"/>
      <c r="HN43" s="10"/>
      <c r="HO43" s="10"/>
      <c r="HP43" s="10"/>
      <c r="HQ43" s="10"/>
      <c r="HR43" s="8"/>
      <c r="HS43" s="10"/>
      <c r="HT43" s="10"/>
      <c r="HU43" s="10"/>
      <c r="HV43" s="10"/>
      <c r="HW43" s="10"/>
      <c r="HX43" s="8"/>
      <c r="HY43" s="10"/>
      <c r="HZ43" s="10"/>
      <c r="IA43" s="10"/>
      <c r="IB43" s="10"/>
      <c r="IC43" s="10"/>
      <c r="ID43" s="8"/>
      <c r="IE43" s="10"/>
      <c r="IF43" s="10"/>
      <c r="IG43" s="10"/>
      <c r="IH43" s="10"/>
      <c r="II43" s="10"/>
      <c r="IJ43" s="8"/>
      <c r="IK43" s="10"/>
      <c r="IL43" s="10"/>
      <c r="IM43" s="10"/>
      <c r="IN43" s="10"/>
      <c r="IO43" s="10"/>
      <c r="IP43" s="8"/>
      <c r="IQ43" s="10"/>
    </row>
    <row r="44" spans="1:251">
      <c r="A44" s="70"/>
      <c r="B44" s="10"/>
      <c r="C44" s="8"/>
      <c r="D44" s="10"/>
      <c r="E44" s="10"/>
      <c r="F44" s="10"/>
      <c r="G44" s="436"/>
      <c r="H44" s="10"/>
      <c r="I44" s="436"/>
      <c r="J44" s="436"/>
      <c r="K44" s="10"/>
      <c r="L44" s="80"/>
      <c r="M44" s="10"/>
      <c r="N44" s="10"/>
      <c r="O44" s="10"/>
      <c r="P44" s="8"/>
      <c r="Q44" s="10"/>
      <c r="R44" s="10"/>
      <c r="S44" s="10"/>
      <c r="T44" s="10"/>
      <c r="U44" s="10"/>
      <c r="V44" s="8"/>
      <c r="W44" s="10"/>
      <c r="X44" s="10"/>
      <c r="Y44" s="10"/>
      <c r="Z44" s="10"/>
      <c r="AA44" s="10"/>
      <c r="AB44" s="8"/>
      <c r="AC44" s="10"/>
      <c r="AD44" s="10"/>
      <c r="AE44" s="10"/>
      <c r="AF44" s="10"/>
      <c r="AG44" s="10"/>
      <c r="AH44" s="8"/>
      <c r="AI44" s="10"/>
      <c r="AJ44" s="10"/>
      <c r="AK44" s="10"/>
      <c r="AL44" s="10"/>
      <c r="AM44" s="10"/>
      <c r="AN44" s="8"/>
      <c r="AO44" s="10"/>
      <c r="AP44" s="10"/>
      <c r="AQ44" s="10"/>
      <c r="AR44" s="10"/>
      <c r="AS44" s="10"/>
      <c r="AT44" s="8"/>
      <c r="AU44" s="10"/>
      <c r="AV44" s="10"/>
      <c r="AW44" s="10"/>
      <c r="AX44" s="10"/>
      <c r="AY44" s="10"/>
      <c r="AZ44" s="8"/>
      <c r="BA44" s="10"/>
      <c r="BB44" s="10"/>
      <c r="BC44" s="10"/>
      <c r="BD44" s="10"/>
      <c r="BE44" s="10"/>
      <c r="BF44" s="8"/>
      <c r="BG44" s="10"/>
      <c r="BH44" s="10"/>
      <c r="BI44" s="10"/>
      <c r="BJ44" s="10"/>
      <c r="BK44" s="10"/>
      <c r="BL44" s="8"/>
      <c r="BM44" s="10"/>
      <c r="BN44" s="10"/>
      <c r="BO44" s="10"/>
      <c r="BP44" s="10"/>
      <c r="BQ44" s="10"/>
      <c r="BR44" s="8"/>
      <c r="BS44" s="10"/>
      <c r="BT44" s="10"/>
      <c r="BU44" s="10"/>
      <c r="BV44" s="10"/>
      <c r="BW44" s="10"/>
      <c r="BX44" s="8"/>
      <c r="BY44" s="10"/>
      <c r="BZ44" s="10"/>
      <c r="CA44" s="10"/>
      <c r="CB44" s="10"/>
      <c r="CC44" s="10"/>
      <c r="CD44" s="8"/>
      <c r="CE44" s="10"/>
      <c r="CF44" s="10"/>
      <c r="CG44" s="10"/>
      <c r="CH44" s="10"/>
      <c r="CI44" s="10"/>
      <c r="CJ44" s="8"/>
      <c r="CK44" s="10"/>
      <c r="CL44" s="10"/>
      <c r="CM44" s="10"/>
      <c r="CN44" s="10"/>
      <c r="CO44" s="10"/>
      <c r="CP44" s="8"/>
      <c r="CQ44" s="10"/>
      <c r="CR44" s="10"/>
      <c r="CS44" s="10"/>
      <c r="CT44" s="10"/>
      <c r="CU44" s="10"/>
      <c r="CV44" s="8"/>
      <c r="CW44" s="10"/>
      <c r="CX44" s="10"/>
      <c r="CY44" s="10"/>
      <c r="CZ44" s="10"/>
      <c r="DA44" s="10"/>
      <c r="DB44" s="8"/>
      <c r="DC44" s="10"/>
      <c r="DD44" s="10"/>
      <c r="DE44" s="10"/>
      <c r="DF44" s="10"/>
      <c r="DG44" s="10"/>
      <c r="DH44" s="8"/>
      <c r="DI44" s="10"/>
      <c r="DJ44" s="10"/>
      <c r="DK44" s="10"/>
      <c r="DL44" s="10"/>
      <c r="DM44" s="10"/>
      <c r="DN44" s="8"/>
      <c r="DO44" s="10"/>
      <c r="DP44" s="10"/>
      <c r="DQ44" s="10"/>
      <c r="DR44" s="10"/>
      <c r="DS44" s="10"/>
      <c r="DT44" s="8"/>
      <c r="DU44" s="10"/>
      <c r="DV44" s="10"/>
      <c r="DW44" s="10"/>
      <c r="DX44" s="10"/>
      <c r="DY44" s="10"/>
      <c r="DZ44" s="8"/>
      <c r="EA44" s="10"/>
      <c r="EB44" s="10"/>
      <c r="EC44" s="10"/>
      <c r="ED44" s="10"/>
      <c r="EE44" s="10"/>
      <c r="EF44" s="8"/>
      <c r="EG44" s="10"/>
      <c r="EH44" s="10"/>
      <c r="EI44" s="10"/>
      <c r="EJ44" s="10"/>
      <c r="EK44" s="10"/>
      <c r="EL44" s="8"/>
      <c r="EM44" s="10"/>
      <c r="EN44" s="10"/>
      <c r="EO44" s="10"/>
      <c r="EP44" s="10"/>
      <c r="EQ44" s="10"/>
      <c r="ER44" s="8"/>
      <c r="ES44" s="10"/>
      <c r="ET44" s="10"/>
      <c r="EU44" s="10"/>
      <c r="EV44" s="10"/>
      <c r="EW44" s="10"/>
      <c r="EX44" s="8"/>
      <c r="EY44" s="10"/>
      <c r="EZ44" s="10"/>
      <c r="FA44" s="10"/>
      <c r="FB44" s="10"/>
      <c r="FC44" s="10"/>
      <c r="FD44" s="8"/>
      <c r="FE44" s="10"/>
      <c r="FF44" s="10"/>
      <c r="FG44" s="10"/>
      <c r="FH44" s="10"/>
      <c r="FI44" s="10"/>
      <c r="FJ44" s="8"/>
      <c r="FK44" s="10"/>
      <c r="FL44" s="10"/>
      <c r="FM44" s="10"/>
      <c r="FN44" s="10"/>
      <c r="FO44" s="10"/>
      <c r="FP44" s="8"/>
      <c r="FQ44" s="10"/>
      <c r="FR44" s="10"/>
      <c r="FS44" s="10"/>
      <c r="FT44" s="10"/>
      <c r="FU44" s="10"/>
      <c r="FV44" s="8"/>
      <c r="FW44" s="10"/>
      <c r="FX44" s="10"/>
      <c r="FY44" s="10"/>
      <c r="FZ44" s="10"/>
      <c r="GA44" s="10"/>
      <c r="GB44" s="8"/>
      <c r="GC44" s="10"/>
      <c r="GD44" s="10"/>
      <c r="GE44" s="10"/>
      <c r="GF44" s="10"/>
      <c r="GG44" s="10"/>
      <c r="GH44" s="8"/>
      <c r="GI44" s="10"/>
      <c r="GJ44" s="10"/>
      <c r="GK44" s="10"/>
      <c r="GL44" s="10"/>
      <c r="GM44" s="10"/>
      <c r="GN44" s="8"/>
      <c r="GO44" s="10"/>
      <c r="GP44" s="10"/>
      <c r="GQ44" s="10"/>
      <c r="GR44" s="10"/>
      <c r="GS44" s="10"/>
      <c r="GT44" s="8"/>
      <c r="GU44" s="10"/>
      <c r="GV44" s="10"/>
      <c r="GW44" s="10"/>
      <c r="GX44" s="10"/>
      <c r="GY44" s="10"/>
      <c r="GZ44" s="8"/>
      <c r="HA44" s="10"/>
      <c r="HB44" s="10"/>
      <c r="HC44" s="10"/>
      <c r="HD44" s="10"/>
      <c r="HE44" s="10"/>
      <c r="HF44" s="8"/>
      <c r="HG44" s="10"/>
      <c r="HH44" s="10"/>
      <c r="HI44" s="10"/>
      <c r="HJ44" s="10"/>
      <c r="HK44" s="10"/>
      <c r="HL44" s="8"/>
      <c r="HM44" s="10"/>
      <c r="HN44" s="10"/>
      <c r="HO44" s="10"/>
      <c r="HP44" s="10"/>
      <c r="HQ44" s="10"/>
      <c r="HR44" s="8"/>
      <c r="HS44" s="10"/>
      <c r="HT44" s="10"/>
      <c r="HU44" s="10"/>
      <c r="HV44" s="10"/>
      <c r="HW44" s="10"/>
      <c r="HX44" s="8"/>
      <c r="HY44" s="10"/>
      <c r="HZ44" s="10"/>
      <c r="IA44" s="10"/>
      <c r="IB44" s="10"/>
      <c r="IC44" s="10"/>
      <c r="ID44" s="8"/>
      <c r="IE44" s="10"/>
      <c r="IF44" s="10"/>
      <c r="IG44" s="10"/>
      <c r="IH44" s="10"/>
      <c r="II44" s="10"/>
      <c r="IJ44" s="8"/>
      <c r="IK44" s="10"/>
      <c r="IL44" s="10"/>
      <c r="IM44" s="10"/>
      <c r="IN44" s="10"/>
      <c r="IO44" s="10"/>
      <c r="IP44" s="8"/>
      <c r="IQ44" s="10"/>
    </row>
    <row r="45" spans="1:251" ht="30.75" customHeight="1">
      <c r="A45" s="245">
        <f>AppendixA!A108</f>
        <v>49</v>
      </c>
      <c r="B45" s="10"/>
      <c r="C45" s="749" t="str">
        <f>AppendixA!C108</f>
        <v xml:space="preserve">Transmission O&amp;M </v>
      </c>
      <c r="D45" s="10"/>
      <c r="E45" s="1023" t="s">
        <v>1403</v>
      </c>
      <c r="F45" s="1024"/>
      <c r="G45" s="407">
        <f>Inputs!D56</f>
        <v>22992471</v>
      </c>
      <c r="H45" s="78"/>
      <c r="I45" s="440">
        <f>+AppendixA!H11</f>
        <v>0.35715415187229255</v>
      </c>
      <c r="J45" s="407">
        <f>+I45*G45</f>
        <v>8211856.4794532824</v>
      </c>
      <c r="K45" s="1044"/>
      <c r="L45" s="1045"/>
      <c r="M45" s="10"/>
      <c r="N45" s="8"/>
      <c r="O45" s="10"/>
      <c r="P45" s="8"/>
      <c r="Q45" s="10"/>
      <c r="R45" s="10"/>
      <c r="S45" s="10"/>
      <c r="T45" s="10"/>
      <c r="U45" s="10"/>
      <c r="V45" s="8"/>
      <c r="W45" s="10"/>
      <c r="X45" s="10"/>
      <c r="Y45" s="10"/>
      <c r="Z45" s="10"/>
      <c r="AA45" s="10"/>
      <c r="AB45" s="8"/>
      <c r="AC45" s="10"/>
      <c r="AD45" s="10"/>
      <c r="AE45" s="10"/>
      <c r="AF45" s="10"/>
      <c r="AG45" s="10"/>
      <c r="AH45" s="8"/>
      <c r="AI45" s="10"/>
      <c r="AJ45" s="10"/>
      <c r="AK45" s="10"/>
      <c r="AL45" s="10"/>
      <c r="AM45" s="10"/>
      <c r="AN45" s="8"/>
      <c r="AO45" s="10"/>
      <c r="AP45" s="10"/>
      <c r="AQ45" s="10"/>
      <c r="AR45" s="10"/>
      <c r="AS45" s="10"/>
      <c r="AT45" s="8"/>
      <c r="AU45" s="10"/>
      <c r="AV45" s="10"/>
      <c r="AW45" s="10"/>
      <c r="AX45" s="10"/>
      <c r="AY45" s="10"/>
      <c r="AZ45" s="8"/>
      <c r="BA45" s="10"/>
      <c r="BB45" s="10"/>
      <c r="BC45" s="10"/>
      <c r="BD45" s="10"/>
      <c r="BE45" s="10"/>
      <c r="BF45" s="8"/>
      <c r="BG45" s="10"/>
      <c r="BH45" s="10"/>
      <c r="BI45" s="10"/>
      <c r="BJ45" s="10"/>
      <c r="BK45" s="10"/>
      <c r="BL45" s="8"/>
      <c r="BM45" s="10"/>
      <c r="BN45" s="10"/>
      <c r="BO45" s="10"/>
      <c r="BP45" s="10"/>
      <c r="BQ45" s="10"/>
      <c r="BR45" s="8"/>
      <c r="BS45" s="10"/>
      <c r="BT45" s="10"/>
      <c r="BU45" s="10"/>
      <c r="BV45" s="10"/>
      <c r="BW45" s="10"/>
      <c r="BX45" s="8"/>
      <c r="BY45" s="10"/>
      <c r="BZ45" s="10"/>
      <c r="CA45" s="10"/>
      <c r="CB45" s="10"/>
      <c r="CC45" s="10"/>
      <c r="CD45" s="8"/>
      <c r="CE45" s="10"/>
      <c r="CF45" s="10"/>
      <c r="CG45" s="10"/>
      <c r="CH45" s="10"/>
      <c r="CI45" s="10"/>
      <c r="CJ45" s="8"/>
      <c r="CK45" s="10"/>
      <c r="CL45" s="10"/>
      <c r="CM45" s="10"/>
      <c r="CN45" s="10"/>
      <c r="CO45" s="10"/>
      <c r="CP45" s="8"/>
      <c r="CQ45" s="10"/>
      <c r="CR45" s="10"/>
      <c r="CS45" s="10"/>
      <c r="CT45" s="10"/>
      <c r="CU45" s="10"/>
      <c r="CV45" s="8"/>
      <c r="CW45" s="10"/>
      <c r="CX45" s="10"/>
      <c r="CY45" s="10"/>
      <c r="CZ45" s="10"/>
      <c r="DA45" s="10"/>
      <c r="DB45" s="8"/>
      <c r="DC45" s="10"/>
      <c r="DD45" s="10"/>
      <c r="DE45" s="10"/>
      <c r="DF45" s="10"/>
      <c r="DG45" s="10"/>
      <c r="DH45" s="8"/>
      <c r="DI45" s="10"/>
      <c r="DJ45" s="10"/>
      <c r="DK45" s="10"/>
      <c r="DL45" s="10"/>
      <c r="DM45" s="10"/>
      <c r="DN45" s="8"/>
      <c r="DO45" s="10"/>
      <c r="DP45" s="10"/>
      <c r="DQ45" s="10"/>
      <c r="DR45" s="10"/>
      <c r="DS45" s="10"/>
      <c r="DT45" s="8"/>
      <c r="DU45" s="10"/>
      <c r="DV45" s="10"/>
      <c r="DW45" s="10"/>
      <c r="DX45" s="10"/>
      <c r="DY45" s="10"/>
      <c r="DZ45" s="8"/>
      <c r="EA45" s="10"/>
      <c r="EB45" s="10"/>
      <c r="EC45" s="10"/>
      <c r="ED45" s="10"/>
      <c r="EE45" s="10"/>
      <c r="EF45" s="8"/>
      <c r="EG45" s="10"/>
      <c r="EH45" s="10"/>
      <c r="EI45" s="10"/>
      <c r="EJ45" s="10"/>
      <c r="EK45" s="10"/>
      <c r="EL45" s="8"/>
      <c r="EM45" s="10"/>
      <c r="EN45" s="10"/>
      <c r="EO45" s="10"/>
      <c r="EP45" s="10"/>
      <c r="EQ45" s="10"/>
      <c r="ER45" s="8"/>
      <c r="ES45" s="10"/>
      <c r="ET45" s="10"/>
      <c r="EU45" s="10"/>
      <c r="EV45" s="10"/>
      <c r="EW45" s="10"/>
      <c r="EX45" s="8"/>
      <c r="EY45" s="10"/>
      <c r="EZ45" s="10"/>
      <c r="FA45" s="10"/>
      <c r="FB45" s="10"/>
      <c r="FC45" s="10"/>
      <c r="FD45" s="8"/>
      <c r="FE45" s="10"/>
      <c r="FF45" s="10"/>
      <c r="FG45" s="10"/>
      <c r="FH45" s="10"/>
      <c r="FI45" s="10"/>
      <c r="FJ45" s="8"/>
      <c r="FK45" s="10"/>
      <c r="FL45" s="10"/>
      <c r="FM45" s="10"/>
      <c r="FN45" s="10"/>
      <c r="FO45" s="10"/>
      <c r="FP45" s="8"/>
      <c r="FQ45" s="10"/>
      <c r="FR45" s="10"/>
      <c r="FS45" s="10"/>
      <c r="FT45" s="10"/>
      <c r="FU45" s="10"/>
      <c r="FV45" s="8"/>
      <c r="FW45" s="10"/>
      <c r="FX45" s="10"/>
      <c r="FY45" s="10"/>
      <c r="FZ45" s="10"/>
      <c r="GA45" s="10"/>
      <c r="GB45" s="8"/>
      <c r="GC45" s="10"/>
      <c r="GD45" s="10"/>
      <c r="GE45" s="10"/>
      <c r="GF45" s="10"/>
      <c r="GG45" s="10"/>
      <c r="GH45" s="8"/>
      <c r="GI45" s="10"/>
      <c r="GJ45" s="10"/>
      <c r="GK45" s="10"/>
      <c r="GL45" s="10"/>
      <c r="GM45" s="10"/>
      <c r="GN45" s="8"/>
      <c r="GO45" s="10"/>
      <c r="GP45" s="10"/>
      <c r="GQ45" s="10"/>
      <c r="GR45" s="10"/>
      <c r="GS45" s="10"/>
      <c r="GT45" s="8"/>
      <c r="GU45" s="10"/>
      <c r="GV45" s="10"/>
      <c r="GW45" s="10"/>
      <c r="GX45" s="10"/>
      <c r="GY45" s="10"/>
      <c r="GZ45" s="8"/>
      <c r="HA45" s="10"/>
      <c r="HB45" s="10"/>
      <c r="HC45" s="10"/>
      <c r="HD45" s="10"/>
      <c r="HE45" s="10"/>
      <c r="HF45" s="8"/>
      <c r="HG45" s="10"/>
      <c r="HH45" s="10"/>
      <c r="HI45" s="10"/>
      <c r="HJ45" s="10"/>
      <c r="HK45" s="10"/>
      <c r="HL45" s="8"/>
      <c r="HM45" s="10"/>
      <c r="HN45" s="10"/>
      <c r="HO45" s="10"/>
      <c r="HP45" s="10"/>
      <c r="HQ45" s="10"/>
      <c r="HR45" s="8"/>
      <c r="HS45" s="10"/>
      <c r="HT45" s="10"/>
      <c r="HU45" s="10"/>
      <c r="HV45" s="10"/>
      <c r="HW45" s="10"/>
      <c r="HX45" s="8"/>
      <c r="HY45" s="10"/>
      <c r="HZ45" s="10"/>
      <c r="IA45" s="10"/>
      <c r="IB45" s="10"/>
      <c r="IC45" s="10"/>
      <c r="ID45" s="8"/>
      <c r="IE45" s="10"/>
      <c r="IF45" s="10"/>
      <c r="IG45" s="10"/>
      <c r="IH45" s="10"/>
      <c r="II45" s="10"/>
      <c r="IJ45" s="8"/>
      <c r="IK45" s="10"/>
      <c r="IL45" s="10"/>
      <c r="IM45" s="10"/>
      <c r="IN45" s="10"/>
      <c r="IO45" s="10"/>
      <c r="IP45" s="8"/>
      <c r="IQ45" s="10"/>
    </row>
    <row r="46" spans="1:251">
      <c r="A46" s="70"/>
      <c r="B46" s="10"/>
      <c r="C46" s="8"/>
      <c r="D46" s="10"/>
      <c r="E46" s="213"/>
      <c r="G46" s="407"/>
      <c r="H46" s="78"/>
      <c r="I46" s="440"/>
      <c r="J46" s="407"/>
      <c r="K46" s="8"/>
      <c r="L46" s="76"/>
      <c r="M46" s="10"/>
      <c r="N46" s="8"/>
      <c r="O46" s="10"/>
      <c r="P46" s="8"/>
      <c r="Q46" s="10"/>
      <c r="R46" s="10"/>
      <c r="S46" s="10"/>
      <c r="T46" s="10"/>
      <c r="U46" s="10"/>
      <c r="V46" s="8"/>
      <c r="W46" s="10"/>
      <c r="X46" s="10"/>
      <c r="Y46" s="10"/>
      <c r="Z46" s="10"/>
      <c r="AA46" s="10"/>
      <c r="AB46" s="8"/>
      <c r="AC46" s="10"/>
      <c r="AD46" s="10"/>
      <c r="AE46" s="10"/>
      <c r="AF46" s="10"/>
      <c r="AG46" s="10"/>
      <c r="AH46" s="8"/>
      <c r="AI46" s="10"/>
      <c r="AJ46" s="10"/>
      <c r="AK46" s="10"/>
      <c r="AL46" s="10"/>
      <c r="AM46" s="10"/>
      <c r="AN46" s="8"/>
      <c r="AO46" s="10"/>
      <c r="AP46" s="10"/>
      <c r="AQ46" s="10"/>
      <c r="AR46" s="10"/>
      <c r="AS46" s="10"/>
      <c r="AT46" s="8"/>
      <c r="AU46" s="10"/>
      <c r="AV46" s="10"/>
      <c r="AW46" s="10"/>
      <c r="AX46" s="10"/>
      <c r="AY46" s="10"/>
      <c r="AZ46" s="8"/>
      <c r="BA46" s="10"/>
      <c r="BB46" s="10"/>
      <c r="BC46" s="10"/>
      <c r="BD46" s="10"/>
      <c r="BE46" s="10"/>
      <c r="BF46" s="8"/>
      <c r="BG46" s="10"/>
      <c r="BH46" s="10"/>
      <c r="BI46" s="10"/>
      <c r="BJ46" s="10"/>
      <c r="BK46" s="10"/>
      <c r="BL46" s="8"/>
      <c r="BM46" s="10"/>
      <c r="BN46" s="10"/>
      <c r="BO46" s="10"/>
      <c r="BP46" s="10"/>
      <c r="BQ46" s="10"/>
      <c r="BR46" s="8"/>
      <c r="BS46" s="10"/>
      <c r="BT46" s="10"/>
      <c r="BU46" s="10"/>
      <c r="BV46" s="10"/>
      <c r="BW46" s="10"/>
      <c r="BX46" s="8"/>
      <c r="BY46" s="10"/>
      <c r="BZ46" s="10"/>
      <c r="CA46" s="10"/>
      <c r="CB46" s="10"/>
      <c r="CC46" s="10"/>
      <c r="CD46" s="8"/>
      <c r="CE46" s="10"/>
      <c r="CF46" s="10"/>
      <c r="CG46" s="10"/>
      <c r="CH46" s="10"/>
      <c r="CI46" s="10"/>
      <c r="CJ46" s="8"/>
      <c r="CK46" s="10"/>
      <c r="CL46" s="10"/>
      <c r="CM46" s="10"/>
      <c r="CN46" s="10"/>
      <c r="CO46" s="10"/>
      <c r="CP46" s="8"/>
      <c r="CQ46" s="10"/>
      <c r="CR46" s="10"/>
      <c r="CS46" s="10"/>
      <c r="CT46" s="10"/>
      <c r="CU46" s="10"/>
      <c r="CV46" s="8"/>
      <c r="CW46" s="10"/>
      <c r="CX46" s="10"/>
      <c r="CY46" s="10"/>
      <c r="CZ46" s="10"/>
      <c r="DA46" s="10"/>
      <c r="DB46" s="8"/>
      <c r="DC46" s="10"/>
      <c r="DD46" s="10"/>
      <c r="DE46" s="10"/>
      <c r="DF46" s="10"/>
      <c r="DG46" s="10"/>
      <c r="DH46" s="8"/>
      <c r="DI46" s="10"/>
      <c r="DJ46" s="10"/>
      <c r="DK46" s="10"/>
      <c r="DL46" s="10"/>
      <c r="DM46" s="10"/>
      <c r="DN46" s="8"/>
      <c r="DO46" s="10"/>
      <c r="DP46" s="10"/>
      <c r="DQ46" s="10"/>
      <c r="DR46" s="10"/>
      <c r="DS46" s="10"/>
      <c r="DT46" s="8"/>
      <c r="DU46" s="10"/>
      <c r="DV46" s="10"/>
      <c r="DW46" s="10"/>
      <c r="DX46" s="10"/>
      <c r="DY46" s="10"/>
      <c r="DZ46" s="8"/>
      <c r="EA46" s="10"/>
      <c r="EB46" s="10"/>
      <c r="EC46" s="10"/>
      <c r="ED46" s="10"/>
      <c r="EE46" s="10"/>
      <c r="EF46" s="8"/>
      <c r="EG46" s="10"/>
      <c r="EH46" s="10"/>
      <c r="EI46" s="10"/>
      <c r="EJ46" s="10"/>
      <c r="EK46" s="10"/>
      <c r="EL46" s="8"/>
      <c r="EM46" s="10"/>
      <c r="EN46" s="10"/>
      <c r="EO46" s="10"/>
      <c r="EP46" s="10"/>
      <c r="EQ46" s="10"/>
      <c r="ER46" s="8"/>
      <c r="ES46" s="10"/>
      <c r="ET46" s="10"/>
      <c r="EU46" s="10"/>
      <c r="EV46" s="10"/>
      <c r="EW46" s="10"/>
      <c r="EX46" s="8"/>
      <c r="EY46" s="10"/>
      <c r="EZ46" s="10"/>
      <c r="FA46" s="10"/>
      <c r="FB46" s="10"/>
      <c r="FC46" s="10"/>
      <c r="FD46" s="8"/>
      <c r="FE46" s="10"/>
      <c r="FF46" s="10"/>
      <c r="FG46" s="10"/>
      <c r="FH46" s="10"/>
      <c r="FI46" s="10"/>
      <c r="FJ46" s="8"/>
      <c r="FK46" s="10"/>
      <c r="FL46" s="10"/>
      <c r="FM46" s="10"/>
      <c r="FN46" s="10"/>
      <c r="FO46" s="10"/>
      <c r="FP46" s="8"/>
      <c r="FQ46" s="10"/>
      <c r="FR46" s="10"/>
      <c r="FS46" s="10"/>
      <c r="FT46" s="10"/>
      <c r="FU46" s="10"/>
      <c r="FV46" s="8"/>
      <c r="FW46" s="10"/>
      <c r="FX46" s="10"/>
      <c r="FY46" s="10"/>
      <c r="FZ46" s="10"/>
      <c r="GA46" s="10"/>
      <c r="GB46" s="8"/>
      <c r="GC46" s="10"/>
      <c r="GD46" s="10"/>
      <c r="GE46" s="10"/>
      <c r="GF46" s="10"/>
      <c r="GG46" s="10"/>
      <c r="GH46" s="8"/>
      <c r="GI46" s="10"/>
      <c r="GJ46" s="10"/>
      <c r="GK46" s="10"/>
      <c r="GL46" s="10"/>
      <c r="GM46" s="10"/>
      <c r="GN46" s="8"/>
      <c r="GO46" s="10"/>
      <c r="GP46" s="10"/>
      <c r="GQ46" s="10"/>
      <c r="GR46" s="10"/>
      <c r="GS46" s="10"/>
      <c r="GT46" s="8"/>
      <c r="GU46" s="10"/>
      <c r="GV46" s="10"/>
      <c r="GW46" s="10"/>
      <c r="GX46" s="10"/>
      <c r="GY46" s="10"/>
      <c r="GZ46" s="8"/>
      <c r="HA46" s="10"/>
      <c r="HB46" s="10"/>
      <c r="HC46" s="10"/>
      <c r="HD46" s="10"/>
      <c r="HE46" s="10"/>
      <c r="HF46" s="8"/>
      <c r="HG46" s="10"/>
      <c r="HH46" s="10"/>
      <c r="HI46" s="10"/>
      <c r="HJ46" s="10"/>
      <c r="HK46" s="10"/>
      <c r="HL46" s="8"/>
      <c r="HM46" s="10"/>
      <c r="HN46" s="10"/>
      <c r="HO46" s="10"/>
      <c r="HP46" s="10"/>
      <c r="HQ46" s="10"/>
      <c r="HR46" s="8"/>
      <c r="HS46" s="10"/>
      <c r="HT46" s="10"/>
      <c r="HU46" s="10"/>
      <c r="HV46" s="10"/>
      <c r="HW46" s="10"/>
      <c r="HX46" s="8"/>
      <c r="HY46" s="10"/>
      <c r="HZ46" s="10"/>
      <c r="IA46" s="10"/>
      <c r="IB46" s="10"/>
      <c r="IC46" s="10"/>
      <c r="ID46" s="8"/>
      <c r="IE46" s="10"/>
      <c r="IF46" s="10"/>
      <c r="IG46" s="10"/>
      <c r="IH46" s="10"/>
      <c r="II46" s="10"/>
      <c r="IJ46" s="8"/>
      <c r="IK46" s="10"/>
      <c r="IL46" s="10"/>
      <c r="IM46" s="10"/>
      <c r="IN46" s="10"/>
      <c r="IO46" s="10"/>
      <c r="IP46" s="8"/>
      <c r="IQ46" s="10"/>
    </row>
    <row r="47" spans="1:251" ht="30.75" customHeight="1">
      <c r="A47" s="245">
        <f>AppendixA!A109</f>
        <v>50</v>
      </c>
      <c r="B47" s="10"/>
      <c r="C47" s="628" t="s">
        <v>162</v>
      </c>
      <c r="D47" s="10"/>
      <c r="E47" s="1014" t="s">
        <v>1404</v>
      </c>
      <c r="F47" s="1015"/>
      <c r="G47" s="407">
        <f>Inputs!D55</f>
        <v>21402534</v>
      </c>
      <c r="H47" s="78"/>
      <c r="I47" s="440">
        <f>+I45</f>
        <v>0.35715415187229255</v>
      </c>
      <c r="J47" s="407">
        <f>+I47*G47</f>
        <v>7644003.8786879051</v>
      </c>
      <c r="K47" s="8"/>
      <c r="L47" s="76"/>
      <c r="M47" s="10"/>
      <c r="N47" s="8"/>
      <c r="O47" s="78"/>
      <c r="P47" s="8"/>
      <c r="Q47" s="10"/>
      <c r="R47" s="10"/>
      <c r="S47" s="10"/>
      <c r="T47" s="10"/>
      <c r="U47" s="10"/>
      <c r="V47" s="8"/>
      <c r="W47" s="10"/>
      <c r="X47" s="10"/>
      <c r="Y47" s="10"/>
      <c r="Z47" s="10"/>
      <c r="AA47" s="10"/>
      <c r="AB47" s="8"/>
      <c r="AC47" s="10"/>
      <c r="AD47" s="10"/>
      <c r="AE47" s="10"/>
      <c r="AF47" s="10"/>
      <c r="AG47" s="10"/>
      <c r="AH47" s="8"/>
      <c r="AI47" s="10"/>
      <c r="AJ47" s="10"/>
      <c r="AK47" s="10"/>
      <c r="AL47" s="10"/>
      <c r="AM47" s="10"/>
      <c r="AN47" s="8"/>
      <c r="AO47" s="10"/>
      <c r="AP47" s="10"/>
      <c r="AQ47" s="10"/>
      <c r="AR47" s="10"/>
      <c r="AS47" s="10"/>
      <c r="AT47" s="8"/>
      <c r="AU47" s="10"/>
      <c r="AV47" s="10"/>
      <c r="AW47" s="10"/>
      <c r="AX47" s="10"/>
      <c r="AY47" s="10"/>
      <c r="AZ47" s="8"/>
      <c r="BA47" s="10"/>
      <c r="BB47" s="10"/>
      <c r="BC47" s="10"/>
      <c r="BD47" s="10"/>
      <c r="BE47" s="10"/>
      <c r="BF47" s="8"/>
      <c r="BG47" s="10"/>
      <c r="BH47" s="10"/>
      <c r="BI47" s="10"/>
      <c r="BJ47" s="10"/>
      <c r="BK47" s="10"/>
      <c r="BL47" s="8"/>
      <c r="BM47" s="10"/>
      <c r="BN47" s="10"/>
      <c r="BO47" s="10"/>
      <c r="BP47" s="10"/>
      <c r="BQ47" s="10"/>
      <c r="BR47" s="8"/>
      <c r="BS47" s="10"/>
      <c r="BT47" s="10"/>
      <c r="BU47" s="10"/>
      <c r="BV47" s="10"/>
      <c r="BW47" s="10"/>
      <c r="BX47" s="8"/>
      <c r="BY47" s="10"/>
      <c r="BZ47" s="10"/>
      <c r="CA47" s="10"/>
      <c r="CB47" s="10"/>
      <c r="CC47" s="10"/>
      <c r="CD47" s="8"/>
      <c r="CE47" s="10"/>
      <c r="CF47" s="10"/>
      <c r="CG47" s="10"/>
      <c r="CH47" s="10"/>
      <c r="CI47" s="10"/>
      <c r="CJ47" s="8"/>
      <c r="CK47" s="10"/>
      <c r="CL47" s="10"/>
      <c r="CM47" s="10"/>
      <c r="CN47" s="10"/>
      <c r="CO47" s="10"/>
      <c r="CP47" s="8"/>
      <c r="CQ47" s="10"/>
      <c r="CR47" s="10"/>
      <c r="CS47" s="10"/>
      <c r="CT47" s="10"/>
      <c r="CU47" s="10"/>
      <c r="CV47" s="8"/>
      <c r="CW47" s="10"/>
      <c r="CX47" s="10"/>
      <c r="CY47" s="10"/>
      <c r="CZ47" s="10"/>
      <c r="DA47" s="10"/>
      <c r="DB47" s="8"/>
      <c r="DC47" s="10"/>
      <c r="DD47" s="10"/>
      <c r="DE47" s="10"/>
      <c r="DF47" s="10"/>
      <c r="DG47" s="10"/>
      <c r="DH47" s="8"/>
      <c r="DI47" s="10"/>
      <c r="DJ47" s="10"/>
      <c r="DK47" s="10"/>
      <c r="DL47" s="10"/>
      <c r="DM47" s="10"/>
      <c r="DN47" s="8"/>
      <c r="DO47" s="10"/>
      <c r="DP47" s="10"/>
      <c r="DQ47" s="10"/>
      <c r="DR47" s="10"/>
      <c r="DS47" s="10"/>
      <c r="DT47" s="8"/>
      <c r="DU47" s="10"/>
      <c r="DV47" s="10"/>
      <c r="DW47" s="10"/>
      <c r="DX47" s="10"/>
      <c r="DY47" s="10"/>
      <c r="DZ47" s="8"/>
      <c r="EA47" s="10"/>
      <c r="EB47" s="10"/>
      <c r="EC47" s="10"/>
      <c r="ED47" s="10"/>
      <c r="EE47" s="10"/>
      <c r="EF47" s="8"/>
      <c r="EG47" s="10"/>
      <c r="EH47" s="10"/>
      <c r="EI47" s="10"/>
      <c r="EJ47" s="10"/>
      <c r="EK47" s="10"/>
      <c r="EL47" s="8"/>
      <c r="EM47" s="10"/>
      <c r="EN47" s="10"/>
      <c r="EO47" s="10"/>
      <c r="EP47" s="10"/>
      <c r="EQ47" s="10"/>
      <c r="ER47" s="8"/>
      <c r="ES47" s="10"/>
      <c r="ET47" s="10"/>
      <c r="EU47" s="10"/>
      <c r="EV47" s="10"/>
      <c r="EW47" s="10"/>
      <c r="EX47" s="8"/>
      <c r="EY47" s="10"/>
      <c r="EZ47" s="10"/>
      <c r="FA47" s="10"/>
      <c r="FB47" s="10"/>
      <c r="FC47" s="10"/>
      <c r="FD47" s="8"/>
      <c r="FE47" s="10"/>
      <c r="FF47" s="10"/>
      <c r="FG47" s="10"/>
      <c r="FH47" s="10"/>
      <c r="FI47" s="10"/>
      <c r="FJ47" s="8"/>
      <c r="FK47" s="10"/>
      <c r="FL47" s="10"/>
      <c r="FM47" s="10"/>
      <c r="FN47" s="10"/>
      <c r="FO47" s="10"/>
      <c r="FP47" s="8"/>
      <c r="FQ47" s="10"/>
      <c r="FR47" s="10"/>
      <c r="FS47" s="10"/>
      <c r="FT47" s="10"/>
      <c r="FU47" s="10"/>
      <c r="FV47" s="8"/>
      <c r="FW47" s="10"/>
      <c r="FX47" s="10"/>
      <c r="FY47" s="10"/>
      <c r="FZ47" s="10"/>
      <c r="GA47" s="10"/>
      <c r="GB47" s="8"/>
      <c r="GC47" s="10"/>
      <c r="GD47" s="10"/>
      <c r="GE47" s="10"/>
      <c r="GF47" s="10"/>
      <c r="GG47" s="10"/>
      <c r="GH47" s="8"/>
      <c r="GI47" s="10"/>
      <c r="GJ47" s="10"/>
      <c r="GK47" s="10"/>
      <c r="GL47" s="10"/>
      <c r="GM47" s="10"/>
      <c r="GN47" s="8"/>
      <c r="GO47" s="10"/>
      <c r="GP47" s="10"/>
      <c r="GQ47" s="10"/>
      <c r="GR47" s="10"/>
      <c r="GS47" s="10"/>
      <c r="GT47" s="8"/>
      <c r="GU47" s="10"/>
      <c r="GV47" s="10"/>
      <c r="GW47" s="10"/>
      <c r="GX47" s="10"/>
      <c r="GY47" s="10"/>
      <c r="GZ47" s="8"/>
      <c r="HA47" s="10"/>
      <c r="HB47" s="10"/>
      <c r="HC47" s="10"/>
      <c r="HD47" s="10"/>
      <c r="HE47" s="10"/>
      <c r="HF47" s="8"/>
      <c r="HG47" s="10"/>
      <c r="HH47" s="10"/>
      <c r="HI47" s="10"/>
      <c r="HJ47" s="10"/>
      <c r="HK47" s="10"/>
      <c r="HL47" s="8"/>
      <c r="HM47" s="10"/>
      <c r="HN47" s="10"/>
      <c r="HO47" s="10"/>
      <c r="HP47" s="10"/>
      <c r="HQ47" s="10"/>
      <c r="HR47" s="8"/>
      <c r="HS47" s="10"/>
      <c r="HT47" s="10"/>
      <c r="HU47" s="10"/>
      <c r="HV47" s="10"/>
      <c r="HW47" s="10"/>
      <c r="HX47" s="8"/>
      <c r="HY47" s="10"/>
      <c r="HZ47" s="10"/>
      <c r="IA47" s="10"/>
      <c r="IB47" s="10"/>
      <c r="IC47" s="10"/>
      <c r="ID47" s="8"/>
      <c r="IE47" s="10"/>
      <c r="IF47" s="10"/>
      <c r="IG47" s="10"/>
      <c r="IH47" s="10"/>
      <c r="II47" s="10"/>
      <c r="IJ47" s="8"/>
      <c r="IK47" s="10"/>
      <c r="IL47" s="10"/>
      <c r="IM47" s="10"/>
      <c r="IN47" s="10"/>
      <c r="IO47" s="10"/>
      <c r="IP47" s="8"/>
      <c r="IQ47" s="10"/>
    </row>
    <row r="48" spans="1:251">
      <c r="A48" s="70"/>
      <c r="B48" s="10"/>
      <c r="D48" s="10"/>
      <c r="E48" s="10"/>
      <c r="F48" s="8"/>
      <c r="G48" s="407"/>
      <c r="H48" s="78"/>
      <c r="I48" s="407"/>
      <c r="J48" s="407"/>
      <c r="K48" s="8"/>
      <c r="L48" s="76"/>
      <c r="M48" s="10"/>
      <c r="N48" s="8"/>
      <c r="O48" s="10"/>
      <c r="P48" s="8"/>
      <c r="Q48" s="10"/>
      <c r="R48" s="10"/>
      <c r="S48" s="10"/>
      <c r="T48" s="10"/>
      <c r="U48" s="10"/>
      <c r="V48" s="8"/>
      <c r="W48" s="10"/>
      <c r="X48" s="10"/>
      <c r="Y48" s="10"/>
      <c r="Z48" s="10"/>
      <c r="AA48" s="10"/>
      <c r="AB48" s="8"/>
      <c r="AC48" s="10"/>
      <c r="AD48" s="10"/>
      <c r="AE48" s="10"/>
      <c r="AF48" s="10"/>
      <c r="AG48" s="10"/>
      <c r="AH48" s="8"/>
      <c r="AI48" s="10"/>
      <c r="AJ48" s="10"/>
      <c r="AK48" s="10"/>
      <c r="AL48" s="10"/>
      <c r="AM48" s="10"/>
      <c r="AN48" s="8"/>
      <c r="AO48" s="10"/>
      <c r="AP48" s="10"/>
      <c r="AQ48" s="10"/>
      <c r="AR48" s="10"/>
      <c r="AS48" s="10"/>
      <c r="AT48" s="8"/>
      <c r="AU48" s="10"/>
      <c r="AV48" s="10"/>
      <c r="AW48" s="10"/>
      <c r="AX48" s="10"/>
      <c r="AY48" s="10"/>
      <c r="AZ48" s="8"/>
      <c r="BA48" s="10"/>
      <c r="BB48" s="10"/>
      <c r="BC48" s="10"/>
      <c r="BD48" s="10"/>
      <c r="BE48" s="10"/>
      <c r="BF48" s="8"/>
      <c r="BG48" s="10"/>
      <c r="BH48" s="10"/>
      <c r="BI48" s="10"/>
      <c r="BJ48" s="10"/>
      <c r="BK48" s="10"/>
      <c r="BL48" s="8"/>
      <c r="BM48" s="10"/>
      <c r="BN48" s="10"/>
      <c r="BO48" s="10"/>
      <c r="BP48" s="10"/>
      <c r="BQ48" s="10"/>
      <c r="BR48" s="8"/>
      <c r="BS48" s="10"/>
      <c r="BT48" s="10"/>
      <c r="BU48" s="10"/>
      <c r="BV48" s="10"/>
      <c r="BW48" s="10"/>
      <c r="BX48" s="8"/>
      <c r="BY48" s="10"/>
      <c r="BZ48" s="10"/>
      <c r="CA48" s="10"/>
      <c r="CB48" s="10"/>
      <c r="CC48" s="10"/>
      <c r="CD48" s="8"/>
      <c r="CE48" s="10"/>
      <c r="CF48" s="10"/>
      <c r="CG48" s="10"/>
      <c r="CH48" s="10"/>
      <c r="CI48" s="10"/>
      <c r="CJ48" s="8"/>
      <c r="CK48" s="10"/>
      <c r="CL48" s="10"/>
      <c r="CM48" s="10"/>
      <c r="CN48" s="10"/>
      <c r="CO48" s="10"/>
      <c r="CP48" s="8"/>
      <c r="CQ48" s="10"/>
      <c r="CR48" s="10"/>
      <c r="CS48" s="10"/>
      <c r="CT48" s="10"/>
      <c r="CU48" s="10"/>
      <c r="CV48" s="8"/>
      <c r="CW48" s="10"/>
      <c r="CX48" s="10"/>
      <c r="CY48" s="10"/>
      <c r="CZ48" s="10"/>
      <c r="DA48" s="10"/>
      <c r="DB48" s="8"/>
      <c r="DC48" s="10"/>
      <c r="DD48" s="10"/>
      <c r="DE48" s="10"/>
      <c r="DF48" s="10"/>
      <c r="DG48" s="10"/>
      <c r="DH48" s="8"/>
      <c r="DI48" s="10"/>
      <c r="DJ48" s="10"/>
      <c r="DK48" s="10"/>
      <c r="DL48" s="10"/>
      <c r="DM48" s="10"/>
      <c r="DN48" s="8"/>
      <c r="DO48" s="10"/>
      <c r="DP48" s="10"/>
      <c r="DQ48" s="10"/>
      <c r="DR48" s="10"/>
      <c r="DS48" s="10"/>
      <c r="DT48" s="8"/>
      <c r="DU48" s="10"/>
      <c r="DV48" s="10"/>
      <c r="DW48" s="10"/>
      <c r="DX48" s="10"/>
      <c r="DY48" s="10"/>
      <c r="DZ48" s="8"/>
      <c r="EA48" s="10"/>
      <c r="EB48" s="10"/>
      <c r="EC48" s="10"/>
      <c r="ED48" s="10"/>
      <c r="EE48" s="10"/>
      <c r="EF48" s="8"/>
      <c r="EG48" s="10"/>
      <c r="EH48" s="10"/>
      <c r="EI48" s="10"/>
      <c r="EJ48" s="10"/>
      <c r="EK48" s="10"/>
      <c r="EL48" s="8"/>
      <c r="EM48" s="10"/>
      <c r="EN48" s="10"/>
      <c r="EO48" s="10"/>
      <c r="EP48" s="10"/>
      <c r="EQ48" s="10"/>
      <c r="ER48" s="8"/>
      <c r="ES48" s="10"/>
      <c r="ET48" s="10"/>
      <c r="EU48" s="10"/>
      <c r="EV48" s="10"/>
      <c r="EW48" s="10"/>
      <c r="EX48" s="8"/>
      <c r="EY48" s="10"/>
      <c r="EZ48" s="10"/>
      <c r="FA48" s="10"/>
      <c r="FB48" s="10"/>
      <c r="FC48" s="10"/>
      <c r="FD48" s="8"/>
      <c r="FE48" s="10"/>
      <c r="FF48" s="10"/>
      <c r="FG48" s="10"/>
      <c r="FH48" s="10"/>
      <c r="FI48" s="10"/>
      <c r="FJ48" s="8"/>
      <c r="FK48" s="10"/>
      <c r="FL48" s="10"/>
      <c r="FM48" s="10"/>
      <c r="FN48" s="10"/>
      <c r="FO48" s="10"/>
      <c r="FP48" s="8"/>
      <c r="FQ48" s="10"/>
      <c r="FR48" s="10"/>
      <c r="FS48" s="10"/>
      <c r="FT48" s="10"/>
      <c r="FU48" s="10"/>
      <c r="FV48" s="8"/>
      <c r="FW48" s="10"/>
      <c r="FX48" s="10"/>
      <c r="FY48" s="10"/>
      <c r="FZ48" s="10"/>
      <c r="GA48" s="10"/>
      <c r="GB48" s="8"/>
      <c r="GC48" s="10"/>
      <c r="GD48" s="10"/>
      <c r="GE48" s="10"/>
      <c r="GF48" s="10"/>
      <c r="GG48" s="10"/>
      <c r="GH48" s="8"/>
      <c r="GI48" s="10"/>
      <c r="GJ48" s="10"/>
      <c r="GK48" s="10"/>
      <c r="GL48" s="10"/>
      <c r="GM48" s="10"/>
      <c r="GN48" s="8"/>
      <c r="GO48" s="10"/>
      <c r="GP48" s="10"/>
      <c r="GQ48" s="10"/>
      <c r="GR48" s="10"/>
      <c r="GS48" s="10"/>
      <c r="GT48" s="8"/>
      <c r="GU48" s="10"/>
      <c r="GV48" s="10"/>
      <c r="GW48" s="10"/>
      <c r="GX48" s="10"/>
      <c r="GY48" s="10"/>
      <c r="GZ48" s="8"/>
      <c r="HA48" s="10"/>
      <c r="HB48" s="10"/>
      <c r="HC48" s="10"/>
      <c r="HD48" s="10"/>
      <c r="HE48" s="10"/>
      <c r="HF48" s="8"/>
      <c r="HG48" s="10"/>
      <c r="HH48" s="10"/>
      <c r="HI48" s="10"/>
      <c r="HJ48" s="10"/>
      <c r="HK48" s="10"/>
      <c r="HL48" s="8"/>
      <c r="HM48" s="10"/>
      <c r="HN48" s="10"/>
      <c r="HO48" s="10"/>
      <c r="HP48" s="10"/>
      <c r="HQ48" s="10"/>
      <c r="HR48" s="8"/>
      <c r="HS48" s="10"/>
      <c r="HT48" s="10"/>
      <c r="HU48" s="10"/>
      <c r="HV48" s="10"/>
      <c r="HW48" s="10"/>
      <c r="HX48" s="8"/>
      <c r="HY48" s="10"/>
      <c r="HZ48" s="10"/>
      <c r="IA48" s="10"/>
      <c r="IB48" s="10"/>
      <c r="IC48" s="10"/>
      <c r="ID48" s="8"/>
      <c r="IE48" s="10"/>
      <c r="IF48" s="10"/>
      <c r="IG48" s="10"/>
      <c r="IH48" s="10"/>
      <c r="II48" s="10"/>
      <c r="IJ48" s="8"/>
      <c r="IK48" s="10"/>
      <c r="IL48" s="10"/>
      <c r="IM48" s="10"/>
      <c r="IN48" s="10"/>
      <c r="IO48" s="10"/>
      <c r="IP48" s="8"/>
      <c r="IQ48" s="10"/>
    </row>
    <row r="49" spans="1:251">
      <c r="A49" s="245">
        <f>AppendixA!A111</f>
        <v>52</v>
      </c>
      <c r="B49" s="10"/>
      <c r="C49" s="244" t="str">
        <f>AppendixA!C111</f>
        <v xml:space="preserve">     Plus Charges billed to Transmission Owner and booked to Account 565</v>
      </c>
      <c r="E49" s="10"/>
      <c r="F49" s="243" t="s">
        <v>699</v>
      </c>
      <c r="G49" s="407">
        <f>Inputs!D115</f>
        <v>0</v>
      </c>
      <c r="H49" s="78"/>
      <c r="I49" s="440">
        <f>+I47</f>
        <v>0.35715415187229255</v>
      </c>
      <c r="J49" s="407">
        <f>+I49*G49</f>
        <v>0</v>
      </c>
      <c r="K49" s="8"/>
      <c r="L49" s="76"/>
      <c r="M49" s="10"/>
      <c r="N49" s="8"/>
      <c r="O49" s="10"/>
      <c r="P49" s="8"/>
      <c r="Q49" s="10"/>
      <c r="R49" s="10"/>
      <c r="S49" s="10"/>
      <c r="T49" s="10"/>
      <c r="U49" s="10"/>
      <c r="V49" s="8"/>
      <c r="W49" s="10"/>
      <c r="X49" s="10"/>
      <c r="Y49" s="10"/>
      <c r="Z49" s="10"/>
      <c r="AA49" s="10"/>
      <c r="AB49" s="8"/>
      <c r="AC49" s="10"/>
      <c r="AD49" s="10"/>
      <c r="AE49" s="10"/>
      <c r="AF49" s="10"/>
      <c r="AG49" s="10"/>
      <c r="AH49" s="8"/>
      <c r="AI49" s="10"/>
      <c r="AJ49" s="10"/>
      <c r="AK49" s="10"/>
      <c r="AL49" s="10"/>
      <c r="AM49" s="10"/>
      <c r="AN49" s="8"/>
      <c r="AO49" s="10"/>
      <c r="AP49" s="10"/>
      <c r="AQ49" s="10"/>
      <c r="AR49" s="10"/>
      <c r="AS49" s="10"/>
      <c r="AT49" s="8"/>
      <c r="AU49" s="10"/>
      <c r="AV49" s="10"/>
      <c r="AW49" s="10"/>
      <c r="AX49" s="10"/>
      <c r="AY49" s="10"/>
      <c r="AZ49" s="8"/>
      <c r="BA49" s="10"/>
      <c r="BB49" s="10"/>
      <c r="BC49" s="10"/>
      <c r="BD49" s="10"/>
      <c r="BE49" s="10"/>
      <c r="BF49" s="8"/>
      <c r="BG49" s="10"/>
      <c r="BH49" s="10"/>
      <c r="BI49" s="10"/>
      <c r="BJ49" s="10"/>
      <c r="BK49" s="10"/>
      <c r="BL49" s="8"/>
      <c r="BM49" s="10"/>
      <c r="BN49" s="10"/>
      <c r="BO49" s="10"/>
      <c r="BP49" s="10"/>
      <c r="BQ49" s="10"/>
      <c r="BR49" s="8"/>
      <c r="BS49" s="10"/>
      <c r="BT49" s="10"/>
      <c r="BU49" s="10"/>
      <c r="BV49" s="10"/>
      <c r="BW49" s="10"/>
      <c r="BX49" s="8"/>
      <c r="BY49" s="10"/>
      <c r="BZ49" s="10"/>
      <c r="CA49" s="10"/>
      <c r="CB49" s="10"/>
      <c r="CC49" s="10"/>
      <c r="CD49" s="8"/>
      <c r="CE49" s="10"/>
      <c r="CF49" s="10"/>
      <c r="CG49" s="10"/>
      <c r="CH49" s="10"/>
      <c r="CI49" s="10"/>
      <c r="CJ49" s="8"/>
      <c r="CK49" s="10"/>
      <c r="CL49" s="10"/>
      <c r="CM49" s="10"/>
      <c r="CN49" s="10"/>
      <c r="CO49" s="10"/>
      <c r="CP49" s="8"/>
      <c r="CQ49" s="10"/>
      <c r="CR49" s="10"/>
      <c r="CS49" s="10"/>
      <c r="CT49" s="10"/>
      <c r="CU49" s="10"/>
      <c r="CV49" s="8"/>
      <c r="CW49" s="10"/>
      <c r="CX49" s="10"/>
      <c r="CY49" s="10"/>
      <c r="CZ49" s="10"/>
      <c r="DA49" s="10"/>
      <c r="DB49" s="8"/>
      <c r="DC49" s="10"/>
      <c r="DD49" s="10"/>
      <c r="DE49" s="10"/>
      <c r="DF49" s="10"/>
      <c r="DG49" s="10"/>
      <c r="DH49" s="8"/>
      <c r="DI49" s="10"/>
      <c r="DJ49" s="10"/>
      <c r="DK49" s="10"/>
      <c r="DL49" s="10"/>
      <c r="DM49" s="10"/>
      <c r="DN49" s="8"/>
      <c r="DO49" s="10"/>
      <c r="DP49" s="10"/>
      <c r="DQ49" s="10"/>
      <c r="DR49" s="10"/>
      <c r="DS49" s="10"/>
      <c r="DT49" s="8"/>
      <c r="DU49" s="10"/>
      <c r="DV49" s="10"/>
      <c r="DW49" s="10"/>
      <c r="DX49" s="10"/>
      <c r="DY49" s="10"/>
      <c r="DZ49" s="8"/>
      <c r="EA49" s="10"/>
      <c r="EB49" s="10"/>
      <c r="EC49" s="10"/>
      <c r="ED49" s="10"/>
      <c r="EE49" s="10"/>
      <c r="EF49" s="8"/>
      <c r="EG49" s="10"/>
      <c r="EH49" s="10"/>
      <c r="EI49" s="10"/>
      <c r="EJ49" s="10"/>
      <c r="EK49" s="10"/>
      <c r="EL49" s="8"/>
      <c r="EM49" s="10"/>
      <c r="EN49" s="10"/>
      <c r="EO49" s="10"/>
      <c r="EP49" s="10"/>
      <c r="EQ49" s="10"/>
      <c r="ER49" s="8"/>
      <c r="ES49" s="10"/>
      <c r="ET49" s="10"/>
      <c r="EU49" s="10"/>
      <c r="EV49" s="10"/>
      <c r="EW49" s="10"/>
      <c r="EX49" s="8"/>
      <c r="EY49" s="10"/>
      <c r="EZ49" s="10"/>
      <c r="FA49" s="10"/>
      <c r="FB49" s="10"/>
      <c r="FC49" s="10"/>
      <c r="FD49" s="8"/>
      <c r="FE49" s="10"/>
      <c r="FF49" s="10"/>
      <c r="FG49" s="10"/>
      <c r="FH49" s="10"/>
      <c r="FI49" s="10"/>
      <c r="FJ49" s="8"/>
      <c r="FK49" s="10"/>
      <c r="FL49" s="10"/>
      <c r="FM49" s="10"/>
      <c r="FN49" s="10"/>
      <c r="FO49" s="10"/>
      <c r="FP49" s="8"/>
      <c r="FQ49" s="10"/>
      <c r="FR49" s="10"/>
      <c r="FS49" s="10"/>
      <c r="FT49" s="10"/>
      <c r="FU49" s="10"/>
      <c r="FV49" s="8"/>
      <c r="FW49" s="10"/>
      <c r="FX49" s="10"/>
      <c r="FY49" s="10"/>
      <c r="FZ49" s="10"/>
      <c r="GA49" s="10"/>
      <c r="GB49" s="8"/>
      <c r="GC49" s="10"/>
      <c r="GD49" s="10"/>
      <c r="GE49" s="10"/>
      <c r="GF49" s="10"/>
      <c r="GG49" s="10"/>
      <c r="GH49" s="8"/>
      <c r="GI49" s="10"/>
      <c r="GJ49" s="10"/>
      <c r="GK49" s="10"/>
      <c r="GL49" s="10"/>
      <c r="GM49" s="10"/>
      <c r="GN49" s="8"/>
      <c r="GO49" s="10"/>
      <c r="GP49" s="10"/>
      <c r="GQ49" s="10"/>
      <c r="GR49" s="10"/>
      <c r="GS49" s="10"/>
      <c r="GT49" s="8"/>
      <c r="GU49" s="10"/>
      <c r="GV49" s="10"/>
      <c r="GW49" s="10"/>
      <c r="GX49" s="10"/>
      <c r="GY49" s="10"/>
      <c r="GZ49" s="8"/>
      <c r="HA49" s="10"/>
      <c r="HB49" s="10"/>
      <c r="HC49" s="10"/>
      <c r="HD49" s="10"/>
      <c r="HE49" s="10"/>
      <c r="HF49" s="8"/>
      <c r="HG49" s="10"/>
      <c r="HH49" s="10"/>
      <c r="HI49" s="10"/>
      <c r="HJ49" s="10"/>
      <c r="HK49" s="10"/>
      <c r="HL49" s="8"/>
      <c r="HM49" s="10"/>
      <c r="HN49" s="10"/>
      <c r="HO49" s="10"/>
      <c r="HP49" s="10"/>
      <c r="HQ49" s="10"/>
      <c r="HR49" s="8"/>
      <c r="HS49" s="10"/>
      <c r="HT49" s="10"/>
      <c r="HU49" s="10"/>
      <c r="HV49" s="10"/>
      <c r="HW49" s="10"/>
      <c r="HX49" s="8"/>
      <c r="HY49" s="10"/>
      <c r="HZ49" s="10"/>
      <c r="IA49" s="10"/>
      <c r="IB49" s="10"/>
      <c r="IC49" s="10"/>
      <c r="ID49" s="8"/>
      <c r="IE49" s="10"/>
      <c r="IF49" s="10"/>
      <c r="IG49" s="10"/>
      <c r="IH49" s="10"/>
      <c r="II49" s="10"/>
      <c r="IJ49" s="8"/>
      <c r="IK49" s="10"/>
      <c r="IL49" s="10"/>
      <c r="IM49" s="10"/>
      <c r="IN49" s="10"/>
      <c r="IO49" s="10"/>
      <c r="IP49" s="8"/>
      <c r="IQ49" s="10"/>
    </row>
    <row r="50" spans="1:251" ht="15.6" thickBot="1">
      <c r="A50" s="71"/>
      <c r="B50" s="79"/>
      <c r="C50" s="79"/>
      <c r="D50" s="79"/>
      <c r="E50" s="79"/>
      <c r="F50" s="79"/>
      <c r="G50" s="408"/>
      <c r="H50" s="79"/>
      <c r="I50" s="408"/>
      <c r="J50" s="408"/>
      <c r="K50" s="331"/>
      <c r="L50" s="417"/>
      <c r="M50" s="10"/>
      <c r="N50" s="10"/>
      <c r="O50" s="10"/>
      <c r="P50" s="8"/>
      <c r="Q50" s="10"/>
      <c r="R50" s="10"/>
      <c r="S50" s="10"/>
      <c r="T50" s="10"/>
      <c r="U50" s="10"/>
      <c r="V50" s="8"/>
      <c r="W50" s="10"/>
      <c r="X50" s="10"/>
      <c r="Y50" s="10"/>
      <c r="Z50" s="10"/>
      <c r="AA50" s="10"/>
      <c r="AB50" s="8"/>
      <c r="AC50" s="10"/>
      <c r="AD50" s="10"/>
      <c r="AE50" s="10"/>
      <c r="AF50" s="10"/>
      <c r="AG50" s="10"/>
      <c r="AH50" s="8"/>
      <c r="AI50" s="10"/>
      <c r="AJ50" s="10"/>
      <c r="AK50" s="10"/>
      <c r="AL50" s="10"/>
      <c r="AM50" s="10"/>
      <c r="AN50" s="8"/>
      <c r="AO50" s="10"/>
      <c r="AP50" s="10"/>
      <c r="AQ50" s="10"/>
      <c r="AR50" s="10"/>
      <c r="AS50" s="10"/>
      <c r="AT50" s="8"/>
      <c r="AU50" s="10"/>
      <c r="AV50" s="10"/>
      <c r="AW50" s="10"/>
      <c r="AX50" s="10"/>
      <c r="AY50" s="10"/>
      <c r="AZ50" s="8"/>
      <c r="BA50" s="10"/>
      <c r="BB50" s="10"/>
      <c r="BC50" s="10"/>
      <c r="BD50" s="10"/>
      <c r="BE50" s="10"/>
      <c r="BF50" s="8"/>
      <c r="BG50" s="10"/>
      <c r="BH50" s="10"/>
      <c r="BI50" s="10"/>
      <c r="BJ50" s="10"/>
      <c r="BK50" s="10"/>
      <c r="BL50" s="8"/>
      <c r="BM50" s="10"/>
      <c r="BN50" s="10"/>
      <c r="BO50" s="10"/>
      <c r="BP50" s="10"/>
      <c r="BQ50" s="10"/>
      <c r="BR50" s="8"/>
      <c r="BS50" s="10"/>
      <c r="BT50" s="10"/>
      <c r="BU50" s="10"/>
      <c r="BV50" s="10"/>
      <c r="BW50" s="10"/>
      <c r="BX50" s="8"/>
      <c r="BY50" s="10"/>
      <c r="BZ50" s="10"/>
      <c r="CA50" s="10"/>
      <c r="CB50" s="10"/>
      <c r="CC50" s="10"/>
      <c r="CD50" s="8"/>
      <c r="CE50" s="10"/>
      <c r="CF50" s="10"/>
      <c r="CG50" s="10"/>
      <c r="CH50" s="10"/>
      <c r="CI50" s="10"/>
      <c r="CJ50" s="8"/>
      <c r="CK50" s="10"/>
      <c r="CL50" s="10"/>
      <c r="CM50" s="10"/>
      <c r="CN50" s="10"/>
      <c r="CO50" s="10"/>
      <c r="CP50" s="8"/>
      <c r="CQ50" s="10"/>
      <c r="CR50" s="10"/>
      <c r="CS50" s="10"/>
      <c r="CT50" s="10"/>
      <c r="CU50" s="10"/>
      <c r="CV50" s="8"/>
      <c r="CW50" s="10"/>
      <c r="CX50" s="10"/>
      <c r="CY50" s="10"/>
      <c r="CZ50" s="10"/>
      <c r="DA50" s="10"/>
      <c r="DB50" s="8"/>
      <c r="DC50" s="10"/>
      <c r="DD50" s="10"/>
      <c r="DE50" s="10"/>
      <c r="DF50" s="10"/>
      <c r="DG50" s="10"/>
      <c r="DH50" s="8"/>
      <c r="DI50" s="10"/>
      <c r="DJ50" s="10"/>
      <c r="DK50" s="10"/>
      <c r="DL50" s="10"/>
      <c r="DM50" s="10"/>
      <c r="DN50" s="8"/>
      <c r="DO50" s="10"/>
      <c r="DP50" s="10"/>
      <c r="DQ50" s="10"/>
      <c r="DR50" s="10"/>
      <c r="DS50" s="10"/>
      <c r="DT50" s="8"/>
      <c r="DU50" s="10"/>
      <c r="DV50" s="10"/>
      <c r="DW50" s="10"/>
      <c r="DX50" s="10"/>
      <c r="DY50" s="10"/>
      <c r="DZ50" s="8"/>
      <c r="EA50" s="10"/>
      <c r="EB50" s="10"/>
      <c r="EC50" s="10"/>
      <c r="ED50" s="10"/>
      <c r="EE50" s="10"/>
      <c r="EF50" s="8"/>
      <c r="EG50" s="10"/>
      <c r="EH50" s="10"/>
      <c r="EI50" s="10"/>
      <c r="EJ50" s="10"/>
      <c r="EK50" s="10"/>
      <c r="EL50" s="8"/>
      <c r="EM50" s="10"/>
      <c r="EN50" s="10"/>
      <c r="EO50" s="10"/>
      <c r="EP50" s="10"/>
      <c r="EQ50" s="10"/>
      <c r="ER50" s="8"/>
      <c r="ES50" s="10"/>
      <c r="ET50" s="10"/>
      <c r="EU50" s="10"/>
      <c r="EV50" s="10"/>
      <c r="EW50" s="10"/>
      <c r="EX50" s="8"/>
      <c r="EY50" s="10"/>
      <c r="EZ50" s="10"/>
      <c r="FA50" s="10"/>
      <c r="FB50" s="10"/>
      <c r="FC50" s="10"/>
      <c r="FD50" s="8"/>
      <c r="FE50" s="10"/>
      <c r="FF50" s="10"/>
      <c r="FG50" s="10"/>
      <c r="FH50" s="10"/>
      <c r="FI50" s="10"/>
      <c r="FJ50" s="8"/>
      <c r="FK50" s="10"/>
      <c r="FL50" s="10"/>
      <c r="FM50" s="10"/>
      <c r="FN50" s="10"/>
      <c r="FO50" s="10"/>
      <c r="FP50" s="8"/>
      <c r="FQ50" s="10"/>
      <c r="FR50" s="10"/>
      <c r="FS50" s="10"/>
      <c r="FT50" s="10"/>
      <c r="FU50" s="10"/>
      <c r="FV50" s="8"/>
      <c r="FW50" s="10"/>
      <c r="FX50" s="10"/>
      <c r="FY50" s="10"/>
      <c r="FZ50" s="10"/>
      <c r="GA50" s="10"/>
      <c r="GB50" s="8"/>
      <c r="GC50" s="10"/>
      <c r="GD50" s="10"/>
      <c r="GE50" s="10"/>
      <c r="GF50" s="10"/>
      <c r="GG50" s="10"/>
      <c r="GH50" s="8"/>
      <c r="GI50" s="10"/>
      <c r="GJ50" s="10"/>
      <c r="GK50" s="10"/>
      <c r="GL50" s="10"/>
      <c r="GM50" s="10"/>
      <c r="GN50" s="8"/>
      <c r="GO50" s="10"/>
      <c r="GP50" s="10"/>
      <c r="GQ50" s="10"/>
      <c r="GR50" s="10"/>
      <c r="GS50" s="10"/>
      <c r="GT50" s="8"/>
      <c r="GU50" s="10"/>
      <c r="GV50" s="10"/>
      <c r="GW50" s="10"/>
      <c r="GX50" s="10"/>
      <c r="GY50" s="10"/>
      <c r="GZ50" s="8"/>
      <c r="HA50" s="10"/>
      <c r="HB50" s="10"/>
      <c r="HC50" s="10"/>
      <c r="HD50" s="10"/>
      <c r="HE50" s="10"/>
      <c r="HF50" s="8"/>
      <c r="HG50" s="10"/>
      <c r="HH50" s="10"/>
      <c r="HI50" s="10"/>
      <c r="HJ50" s="10"/>
      <c r="HK50" s="10"/>
      <c r="HL50" s="8"/>
      <c r="HM50" s="10"/>
      <c r="HN50" s="10"/>
      <c r="HO50" s="10"/>
      <c r="HP50" s="10"/>
      <c r="HQ50" s="10"/>
      <c r="HR50" s="8"/>
      <c r="HS50" s="10"/>
      <c r="HT50" s="10"/>
      <c r="HU50" s="10"/>
      <c r="HV50" s="10"/>
      <c r="HW50" s="10"/>
      <c r="HX50" s="8"/>
      <c r="HY50" s="10"/>
      <c r="HZ50" s="10"/>
      <c r="IA50" s="10"/>
      <c r="IB50" s="10"/>
      <c r="IC50" s="10"/>
      <c r="ID50" s="8"/>
      <c r="IE50" s="10"/>
      <c r="IF50" s="10"/>
      <c r="IG50" s="10"/>
      <c r="IH50" s="10"/>
      <c r="II50" s="10"/>
      <c r="IJ50" s="8"/>
      <c r="IK50" s="10"/>
      <c r="IL50" s="10"/>
      <c r="IM50" s="10"/>
      <c r="IN50" s="10"/>
      <c r="IO50" s="10"/>
      <c r="IP50" s="8"/>
      <c r="IQ50" s="10"/>
    </row>
    <row r="51" spans="1:251" ht="7.5" customHeight="1">
      <c r="A51" s="10"/>
      <c r="B51" s="10"/>
      <c r="C51" s="10"/>
      <c r="D51" s="10"/>
      <c r="E51" s="10"/>
      <c r="F51" s="10"/>
      <c r="K51" s="23"/>
      <c r="L51" s="23"/>
      <c r="M51" s="10"/>
      <c r="N51" s="10"/>
      <c r="O51" s="10"/>
      <c r="P51" s="8"/>
      <c r="Q51" s="10"/>
      <c r="R51" s="10"/>
      <c r="S51" s="10"/>
      <c r="T51" s="10"/>
      <c r="U51" s="10"/>
      <c r="V51" s="8"/>
      <c r="W51" s="10"/>
      <c r="X51" s="10"/>
      <c r="Y51" s="10"/>
      <c r="Z51" s="10"/>
      <c r="AA51" s="10"/>
      <c r="AB51" s="8"/>
      <c r="AC51" s="10"/>
      <c r="AD51" s="10"/>
      <c r="AE51" s="10"/>
      <c r="AF51" s="10"/>
      <c r="AG51" s="10"/>
      <c r="AH51" s="8"/>
      <c r="AI51" s="10"/>
      <c r="AJ51" s="10"/>
      <c r="AK51" s="10"/>
      <c r="AL51" s="10"/>
      <c r="AM51" s="10"/>
      <c r="AN51" s="8"/>
      <c r="AO51" s="10"/>
      <c r="AP51" s="10"/>
      <c r="AQ51" s="10"/>
      <c r="AR51" s="10"/>
      <c r="AS51" s="10"/>
      <c r="AT51" s="8"/>
      <c r="AU51" s="10"/>
      <c r="AV51" s="10"/>
      <c r="AW51" s="10"/>
      <c r="AX51" s="10"/>
      <c r="AY51" s="10"/>
      <c r="AZ51" s="8"/>
      <c r="BA51" s="10"/>
      <c r="BB51" s="10"/>
      <c r="BC51" s="10"/>
      <c r="BD51" s="10"/>
      <c r="BE51" s="10"/>
      <c r="BF51" s="8"/>
      <c r="BG51" s="10"/>
      <c r="BH51" s="10"/>
      <c r="BI51" s="10"/>
      <c r="BJ51" s="10"/>
      <c r="BK51" s="10"/>
      <c r="BL51" s="8"/>
      <c r="BM51" s="10"/>
      <c r="BN51" s="10"/>
      <c r="BO51" s="10"/>
      <c r="BP51" s="10"/>
      <c r="BQ51" s="10"/>
      <c r="BR51" s="8"/>
      <c r="BS51" s="10"/>
      <c r="BT51" s="10"/>
      <c r="BU51" s="10"/>
      <c r="BV51" s="10"/>
      <c r="BW51" s="10"/>
      <c r="BX51" s="8"/>
      <c r="BY51" s="10"/>
      <c r="BZ51" s="10"/>
      <c r="CA51" s="10"/>
      <c r="CB51" s="10"/>
      <c r="CC51" s="10"/>
      <c r="CD51" s="8"/>
      <c r="CE51" s="10"/>
      <c r="CF51" s="10"/>
      <c r="CG51" s="10"/>
      <c r="CH51" s="10"/>
      <c r="CI51" s="10"/>
      <c r="CJ51" s="8"/>
      <c r="CK51" s="10"/>
      <c r="CL51" s="10"/>
      <c r="CM51" s="10"/>
      <c r="CN51" s="10"/>
      <c r="CO51" s="10"/>
      <c r="CP51" s="8"/>
      <c r="CQ51" s="10"/>
      <c r="CR51" s="10"/>
      <c r="CS51" s="10"/>
      <c r="CT51" s="10"/>
      <c r="CU51" s="10"/>
      <c r="CV51" s="8"/>
      <c r="CW51" s="10"/>
      <c r="CX51" s="10"/>
      <c r="CY51" s="10"/>
      <c r="CZ51" s="10"/>
      <c r="DA51" s="10"/>
      <c r="DB51" s="8"/>
      <c r="DC51" s="10"/>
      <c r="DD51" s="10"/>
      <c r="DE51" s="10"/>
      <c r="DF51" s="10"/>
      <c r="DG51" s="10"/>
      <c r="DH51" s="8"/>
      <c r="DI51" s="10"/>
      <c r="DJ51" s="10"/>
      <c r="DK51" s="10"/>
      <c r="DL51" s="10"/>
      <c r="DM51" s="10"/>
      <c r="DN51" s="8"/>
      <c r="DO51" s="10"/>
      <c r="DP51" s="10"/>
      <c r="DQ51" s="10"/>
      <c r="DR51" s="10"/>
      <c r="DS51" s="10"/>
      <c r="DT51" s="8"/>
      <c r="DU51" s="10"/>
      <c r="DV51" s="10"/>
      <c r="DW51" s="10"/>
      <c r="DX51" s="10"/>
      <c r="DY51" s="10"/>
      <c r="DZ51" s="8"/>
      <c r="EA51" s="10"/>
      <c r="EB51" s="10"/>
      <c r="EC51" s="10"/>
      <c r="ED51" s="10"/>
      <c r="EE51" s="10"/>
      <c r="EF51" s="8"/>
      <c r="EG51" s="10"/>
      <c r="EH51" s="10"/>
      <c r="EI51" s="10"/>
      <c r="EJ51" s="10"/>
      <c r="EK51" s="10"/>
      <c r="EL51" s="8"/>
      <c r="EM51" s="10"/>
      <c r="EN51" s="10"/>
      <c r="EO51" s="10"/>
      <c r="EP51" s="10"/>
      <c r="EQ51" s="10"/>
      <c r="ER51" s="8"/>
      <c r="ES51" s="10"/>
      <c r="ET51" s="10"/>
      <c r="EU51" s="10"/>
      <c r="EV51" s="10"/>
      <c r="EW51" s="10"/>
      <c r="EX51" s="8"/>
      <c r="EY51" s="10"/>
      <c r="EZ51" s="10"/>
      <c r="FA51" s="10"/>
      <c r="FB51" s="10"/>
      <c r="FC51" s="10"/>
      <c r="FD51" s="8"/>
      <c r="FE51" s="10"/>
      <c r="FF51" s="10"/>
      <c r="FG51" s="10"/>
      <c r="FH51" s="10"/>
      <c r="FI51" s="10"/>
      <c r="FJ51" s="8"/>
      <c r="FK51" s="10"/>
      <c r="FL51" s="10"/>
      <c r="FM51" s="10"/>
      <c r="FN51" s="10"/>
      <c r="FO51" s="10"/>
      <c r="FP51" s="8"/>
      <c r="FQ51" s="10"/>
      <c r="FR51" s="10"/>
      <c r="FS51" s="10"/>
      <c r="FT51" s="10"/>
      <c r="FU51" s="10"/>
      <c r="FV51" s="8"/>
      <c r="FW51" s="10"/>
      <c r="FX51" s="10"/>
      <c r="FY51" s="10"/>
      <c r="FZ51" s="10"/>
      <c r="GA51" s="10"/>
      <c r="GB51" s="8"/>
      <c r="GC51" s="10"/>
      <c r="GD51" s="10"/>
      <c r="GE51" s="10"/>
      <c r="GF51" s="10"/>
      <c r="GG51" s="10"/>
      <c r="GH51" s="8"/>
      <c r="GI51" s="10"/>
      <c r="GJ51" s="10"/>
      <c r="GK51" s="10"/>
      <c r="GL51" s="10"/>
      <c r="GM51" s="10"/>
      <c r="GN51" s="8"/>
      <c r="GO51" s="10"/>
      <c r="GP51" s="10"/>
      <c r="GQ51" s="10"/>
      <c r="GR51" s="10"/>
      <c r="GS51" s="10"/>
      <c r="GT51" s="8"/>
      <c r="GU51" s="10"/>
      <c r="GV51" s="10"/>
      <c r="GW51" s="10"/>
      <c r="GX51" s="10"/>
      <c r="GY51" s="10"/>
      <c r="GZ51" s="8"/>
      <c r="HA51" s="10"/>
      <c r="HB51" s="10"/>
      <c r="HC51" s="10"/>
      <c r="HD51" s="10"/>
      <c r="HE51" s="10"/>
      <c r="HF51" s="8"/>
      <c r="HG51" s="10"/>
      <c r="HH51" s="10"/>
      <c r="HI51" s="10"/>
      <c r="HJ51" s="10"/>
      <c r="HK51" s="10"/>
      <c r="HL51" s="8"/>
      <c r="HM51" s="10"/>
      <c r="HN51" s="10"/>
      <c r="HO51" s="10"/>
      <c r="HP51" s="10"/>
      <c r="HQ51" s="10"/>
      <c r="HR51" s="8"/>
      <c r="HS51" s="10"/>
      <c r="HT51" s="10"/>
      <c r="HU51" s="10"/>
      <c r="HV51" s="10"/>
      <c r="HW51" s="10"/>
      <c r="HX51" s="8"/>
      <c r="HY51" s="10"/>
      <c r="HZ51" s="10"/>
      <c r="IA51" s="10"/>
      <c r="IB51" s="10"/>
      <c r="IC51" s="10"/>
      <c r="ID51" s="8"/>
      <c r="IE51" s="10"/>
      <c r="IF51" s="10"/>
      <c r="IG51" s="10"/>
      <c r="IH51" s="10"/>
      <c r="II51" s="10"/>
      <c r="IJ51" s="8"/>
      <c r="IK51" s="10"/>
      <c r="IL51" s="10"/>
      <c r="IM51" s="10"/>
      <c r="IN51" s="10"/>
      <c r="IO51" s="10"/>
      <c r="IP51" s="8"/>
      <c r="IQ51" s="10"/>
    </row>
    <row r="52" spans="1:251" ht="7.5" customHeight="1" thickBot="1">
      <c r="A52" s="34"/>
    </row>
    <row r="53" spans="1:251" ht="31.8" thickBot="1">
      <c r="A53" s="1020" t="s">
        <v>627</v>
      </c>
      <c r="B53" s="1021"/>
      <c r="C53" s="1021"/>
      <c r="D53" s="1021"/>
      <c r="E53" s="1021"/>
      <c r="F53" s="1022"/>
      <c r="G53" s="380" t="s">
        <v>503</v>
      </c>
      <c r="H53" s="338"/>
      <c r="I53" s="235" t="s">
        <v>628</v>
      </c>
      <c r="J53" s="377"/>
      <c r="K53" s="378" t="s">
        <v>393</v>
      </c>
      <c r="L53" s="379"/>
      <c r="N53" s="10"/>
      <c r="O53" s="10"/>
      <c r="P53" s="8"/>
      <c r="Q53" s="10"/>
      <c r="R53" s="10"/>
      <c r="S53" s="10"/>
      <c r="T53" s="10"/>
      <c r="U53" s="10"/>
      <c r="V53" s="8"/>
      <c r="W53" s="10"/>
      <c r="X53" s="10"/>
      <c r="Y53" s="10"/>
      <c r="Z53" s="10"/>
      <c r="AA53" s="10"/>
      <c r="AB53" s="8"/>
      <c r="AC53" s="10"/>
      <c r="AD53" s="10"/>
      <c r="AE53" s="10"/>
      <c r="AF53" s="10"/>
      <c r="AG53" s="10"/>
      <c r="AH53" s="8"/>
      <c r="AI53" s="10"/>
      <c r="AJ53" s="10"/>
      <c r="AK53" s="10"/>
      <c r="AL53" s="10"/>
      <c r="AM53" s="10"/>
      <c r="AN53" s="8"/>
      <c r="AO53" s="10"/>
      <c r="AP53" s="10"/>
      <c r="AQ53" s="10"/>
      <c r="AR53" s="10"/>
      <c r="AS53" s="10"/>
      <c r="AT53" s="8"/>
      <c r="AU53" s="10"/>
      <c r="AV53" s="10"/>
      <c r="AW53" s="10"/>
      <c r="AX53" s="10"/>
      <c r="AY53" s="10"/>
      <c r="AZ53" s="8"/>
      <c r="BA53" s="10"/>
      <c r="BB53" s="10"/>
      <c r="BC53" s="10"/>
      <c r="BD53" s="10"/>
      <c r="BE53" s="10"/>
      <c r="BF53" s="8"/>
      <c r="BG53" s="10"/>
      <c r="BH53" s="10"/>
      <c r="BI53" s="10"/>
      <c r="BJ53" s="10"/>
      <c r="BK53" s="10"/>
      <c r="BL53" s="8"/>
      <c r="BM53" s="10"/>
      <c r="BN53" s="10"/>
      <c r="BO53" s="10"/>
      <c r="BP53" s="10"/>
      <c r="BQ53" s="10"/>
      <c r="BR53" s="8"/>
      <c r="BS53" s="10"/>
      <c r="BT53" s="10"/>
      <c r="BU53" s="10"/>
      <c r="BV53" s="10"/>
      <c r="BW53" s="10"/>
      <c r="BX53" s="8"/>
      <c r="BY53" s="10"/>
      <c r="BZ53" s="10"/>
      <c r="CA53" s="10"/>
      <c r="CB53" s="10"/>
      <c r="CC53" s="10"/>
      <c r="CD53" s="8"/>
      <c r="CE53" s="10"/>
      <c r="CF53" s="10"/>
      <c r="CG53" s="10"/>
      <c r="CH53" s="10"/>
      <c r="CI53" s="10"/>
      <c r="CJ53" s="8"/>
      <c r="CK53" s="10"/>
      <c r="CL53" s="10"/>
      <c r="CM53" s="10"/>
      <c r="CN53" s="10"/>
      <c r="CO53" s="10"/>
      <c r="CP53" s="8"/>
      <c r="CQ53" s="10"/>
      <c r="CR53" s="10"/>
      <c r="CS53" s="10"/>
      <c r="CT53" s="10"/>
      <c r="CU53" s="10"/>
      <c r="CV53" s="8"/>
      <c r="CW53" s="10"/>
      <c r="CX53" s="10"/>
      <c r="CY53" s="10"/>
      <c r="CZ53" s="10"/>
      <c r="DA53" s="10"/>
      <c r="DB53" s="8"/>
      <c r="DC53" s="10"/>
      <c r="DD53" s="10"/>
      <c r="DE53" s="10"/>
      <c r="DF53" s="10"/>
      <c r="DG53" s="10"/>
      <c r="DH53" s="8"/>
      <c r="DI53" s="10"/>
      <c r="DJ53" s="10"/>
      <c r="DK53" s="10"/>
      <c r="DL53" s="10"/>
      <c r="DM53" s="10"/>
      <c r="DN53" s="8"/>
      <c r="DO53" s="10"/>
      <c r="DP53" s="10"/>
      <c r="DQ53" s="10"/>
      <c r="DR53" s="10"/>
      <c r="DS53" s="10"/>
      <c r="DT53" s="8"/>
      <c r="DU53" s="10"/>
      <c r="DV53" s="10"/>
      <c r="DW53" s="10"/>
      <c r="DX53" s="10"/>
      <c r="DY53" s="10"/>
      <c r="DZ53" s="8"/>
      <c r="EA53" s="10"/>
      <c r="EB53" s="10"/>
      <c r="EC53" s="10"/>
      <c r="ED53" s="10"/>
      <c r="EE53" s="10"/>
      <c r="EF53" s="8"/>
      <c r="EG53" s="10"/>
      <c r="EH53" s="10"/>
      <c r="EI53" s="10"/>
      <c r="EJ53" s="10"/>
      <c r="EK53" s="10"/>
      <c r="EL53" s="8"/>
      <c r="EM53" s="10"/>
      <c r="EN53" s="10"/>
      <c r="EO53" s="10"/>
      <c r="EP53" s="10"/>
      <c r="EQ53" s="10"/>
      <c r="ER53" s="8"/>
      <c r="ES53" s="10"/>
      <c r="ET53" s="10"/>
      <c r="EU53" s="10"/>
      <c r="EV53" s="10"/>
      <c r="EW53" s="10"/>
      <c r="EX53" s="8"/>
      <c r="EY53" s="10"/>
      <c r="EZ53" s="10"/>
      <c r="FA53" s="10"/>
      <c r="FB53" s="10"/>
      <c r="FC53" s="10"/>
      <c r="FD53" s="8"/>
      <c r="FE53" s="10"/>
      <c r="FF53" s="10"/>
      <c r="FG53" s="10"/>
      <c r="FH53" s="10"/>
      <c r="FI53" s="10"/>
      <c r="FJ53" s="8"/>
      <c r="FK53" s="10"/>
      <c r="FL53" s="10"/>
      <c r="FM53" s="10"/>
      <c r="FN53" s="10"/>
      <c r="FO53" s="10"/>
      <c r="FP53" s="8"/>
      <c r="FQ53" s="10"/>
      <c r="FR53" s="10"/>
      <c r="FS53" s="10"/>
      <c r="FT53" s="10"/>
      <c r="FU53" s="10"/>
      <c r="FV53" s="8"/>
      <c r="FW53" s="10"/>
      <c r="FX53" s="10"/>
      <c r="FY53" s="10"/>
      <c r="FZ53" s="10"/>
      <c r="GA53" s="10"/>
      <c r="GB53" s="8"/>
      <c r="GC53" s="10"/>
      <c r="GD53" s="10"/>
      <c r="GE53" s="10"/>
      <c r="GF53" s="10"/>
      <c r="GG53" s="10"/>
      <c r="GH53" s="8"/>
      <c r="GI53" s="10"/>
      <c r="GJ53" s="10"/>
      <c r="GK53" s="10"/>
      <c r="GL53" s="10"/>
      <c r="GM53" s="10"/>
      <c r="GN53" s="8"/>
      <c r="GO53" s="10"/>
      <c r="GP53" s="10"/>
      <c r="GQ53" s="10"/>
      <c r="GR53" s="10"/>
      <c r="GS53" s="10"/>
      <c r="GT53" s="8"/>
      <c r="GU53" s="10"/>
      <c r="GV53" s="10"/>
      <c r="GW53" s="10"/>
      <c r="GX53" s="10"/>
      <c r="GY53" s="10"/>
      <c r="GZ53" s="8"/>
      <c r="HA53" s="10"/>
      <c r="HB53" s="10"/>
      <c r="HC53" s="10"/>
      <c r="HD53" s="10"/>
      <c r="HE53" s="10"/>
      <c r="HF53" s="8"/>
      <c r="HG53" s="10"/>
      <c r="HH53" s="10"/>
      <c r="HI53" s="10"/>
      <c r="HJ53" s="10"/>
      <c r="HK53" s="10"/>
      <c r="HL53" s="8"/>
      <c r="HM53" s="10"/>
      <c r="HN53" s="10"/>
      <c r="HO53" s="10"/>
      <c r="HP53" s="10"/>
      <c r="HQ53" s="10"/>
      <c r="HR53" s="8"/>
      <c r="HS53" s="10"/>
      <c r="HT53" s="10"/>
      <c r="HU53" s="10"/>
      <c r="HV53" s="10"/>
      <c r="HW53" s="10"/>
      <c r="HX53" s="8"/>
      <c r="HY53" s="10"/>
      <c r="HZ53" s="10"/>
      <c r="IA53" s="10"/>
      <c r="IB53" s="10"/>
      <c r="IC53" s="10"/>
      <c r="ID53" s="8"/>
      <c r="IE53" s="10"/>
      <c r="IF53" s="10"/>
      <c r="IG53" s="10"/>
      <c r="IH53" s="10"/>
      <c r="II53" s="10"/>
      <c r="IJ53" s="8"/>
      <c r="IK53" s="10"/>
      <c r="IL53" s="10"/>
      <c r="IM53" s="10"/>
      <c r="IN53" s="10"/>
      <c r="IO53" s="10"/>
      <c r="IP53" s="8"/>
      <c r="IQ53" s="10"/>
    </row>
    <row r="54" spans="1:251" ht="15.6">
      <c r="A54" s="327"/>
      <c r="B54" s="5"/>
      <c r="C54" s="5"/>
      <c r="D54" s="5"/>
      <c r="E54" s="5"/>
      <c r="F54" s="5"/>
      <c r="G54" s="435"/>
      <c r="H54" s="29"/>
      <c r="I54" s="439"/>
      <c r="J54" s="415"/>
      <c r="K54" s="415"/>
      <c r="L54" s="416"/>
      <c r="N54" s="10"/>
      <c r="O54" s="10"/>
      <c r="P54" s="8"/>
      <c r="Q54" s="10"/>
      <c r="R54" s="10"/>
      <c r="S54" s="10"/>
      <c r="T54" s="10"/>
      <c r="U54" s="10"/>
      <c r="V54" s="8"/>
      <c r="W54" s="10"/>
      <c r="X54" s="10"/>
      <c r="Y54" s="10"/>
      <c r="Z54" s="10"/>
      <c r="AA54" s="10"/>
      <c r="AB54" s="8"/>
      <c r="AC54" s="10"/>
      <c r="AD54" s="10"/>
      <c r="AE54" s="10"/>
      <c r="AF54" s="10"/>
      <c r="AG54" s="10"/>
      <c r="AH54" s="8"/>
      <c r="AI54" s="10"/>
      <c r="AJ54" s="10"/>
      <c r="AK54" s="10"/>
      <c r="AL54" s="10"/>
      <c r="AM54" s="10"/>
      <c r="AN54" s="8"/>
      <c r="AO54" s="10"/>
      <c r="AP54" s="10"/>
      <c r="AQ54" s="10"/>
      <c r="AR54" s="10"/>
      <c r="AS54" s="10"/>
      <c r="AT54" s="8"/>
      <c r="AU54" s="10"/>
      <c r="AV54" s="10"/>
      <c r="AW54" s="10"/>
      <c r="AX54" s="10"/>
      <c r="AY54" s="10"/>
      <c r="AZ54" s="8"/>
      <c r="BA54" s="10"/>
      <c r="BB54" s="10"/>
      <c r="BC54" s="10"/>
      <c r="BD54" s="10"/>
      <c r="BE54" s="10"/>
      <c r="BF54" s="8"/>
      <c r="BG54" s="10"/>
      <c r="BH54" s="10"/>
      <c r="BI54" s="10"/>
      <c r="BJ54" s="10"/>
      <c r="BK54" s="10"/>
      <c r="BL54" s="8"/>
      <c r="BM54" s="10"/>
      <c r="BN54" s="10"/>
      <c r="BO54" s="10"/>
      <c r="BP54" s="10"/>
      <c r="BQ54" s="10"/>
      <c r="BR54" s="8"/>
      <c r="BS54" s="10"/>
      <c r="BT54" s="10"/>
      <c r="BU54" s="10"/>
      <c r="BV54" s="10"/>
      <c r="BW54" s="10"/>
      <c r="BX54" s="8"/>
      <c r="BY54" s="10"/>
      <c r="BZ54" s="10"/>
      <c r="CA54" s="10"/>
      <c r="CB54" s="10"/>
      <c r="CC54" s="10"/>
      <c r="CD54" s="8"/>
      <c r="CE54" s="10"/>
      <c r="CF54" s="10"/>
      <c r="CG54" s="10"/>
      <c r="CH54" s="10"/>
      <c r="CI54" s="10"/>
      <c r="CJ54" s="8"/>
      <c r="CK54" s="10"/>
      <c r="CL54" s="10"/>
      <c r="CM54" s="10"/>
      <c r="CN54" s="10"/>
      <c r="CO54" s="10"/>
      <c r="CP54" s="8"/>
      <c r="CQ54" s="10"/>
      <c r="CR54" s="10"/>
      <c r="CS54" s="10"/>
      <c r="CT54" s="10"/>
      <c r="CU54" s="10"/>
      <c r="CV54" s="8"/>
      <c r="CW54" s="10"/>
      <c r="CX54" s="10"/>
      <c r="CY54" s="10"/>
      <c r="CZ54" s="10"/>
      <c r="DA54" s="10"/>
      <c r="DB54" s="8"/>
      <c r="DC54" s="10"/>
      <c r="DD54" s="10"/>
      <c r="DE54" s="10"/>
      <c r="DF54" s="10"/>
      <c r="DG54" s="10"/>
      <c r="DH54" s="8"/>
      <c r="DI54" s="10"/>
      <c r="DJ54" s="10"/>
      <c r="DK54" s="10"/>
      <c r="DL54" s="10"/>
      <c r="DM54" s="10"/>
      <c r="DN54" s="8"/>
      <c r="DO54" s="10"/>
      <c r="DP54" s="10"/>
      <c r="DQ54" s="10"/>
      <c r="DR54" s="10"/>
      <c r="DS54" s="10"/>
      <c r="DT54" s="8"/>
      <c r="DU54" s="10"/>
      <c r="DV54" s="10"/>
      <c r="DW54" s="10"/>
      <c r="DX54" s="10"/>
      <c r="DY54" s="10"/>
      <c r="DZ54" s="8"/>
      <c r="EA54" s="10"/>
      <c r="EB54" s="10"/>
      <c r="EC54" s="10"/>
      <c r="ED54" s="10"/>
      <c r="EE54" s="10"/>
      <c r="EF54" s="8"/>
      <c r="EG54" s="10"/>
      <c r="EH54" s="10"/>
      <c r="EI54" s="10"/>
      <c r="EJ54" s="10"/>
      <c r="EK54" s="10"/>
      <c r="EL54" s="8"/>
      <c r="EM54" s="10"/>
      <c r="EN54" s="10"/>
      <c r="EO54" s="10"/>
      <c r="EP54" s="10"/>
      <c r="EQ54" s="10"/>
      <c r="ER54" s="8"/>
      <c r="ES54" s="10"/>
      <c r="ET54" s="10"/>
      <c r="EU54" s="10"/>
      <c r="EV54" s="10"/>
      <c r="EW54" s="10"/>
      <c r="EX54" s="8"/>
      <c r="EY54" s="10"/>
      <c r="EZ54" s="10"/>
      <c r="FA54" s="10"/>
      <c r="FB54" s="10"/>
      <c r="FC54" s="10"/>
      <c r="FD54" s="8"/>
      <c r="FE54" s="10"/>
      <c r="FF54" s="10"/>
      <c r="FG54" s="10"/>
      <c r="FH54" s="10"/>
      <c r="FI54" s="10"/>
      <c r="FJ54" s="8"/>
      <c r="FK54" s="10"/>
      <c r="FL54" s="10"/>
      <c r="FM54" s="10"/>
      <c r="FN54" s="10"/>
      <c r="FO54" s="10"/>
      <c r="FP54" s="8"/>
      <c r="FQ54" s="10"/>
      <c r="FR54" s="10"/>
      <c r="FS54" s="10"/>
      <c r="FT54" s="10"/>
      <c r="FU54" s="10"/>
      <c r="FV54" s="8"/>
      <c r="FW54" s="10"/>
      <c r="FX54" s="10"/>
      <c r="FY54" s="10"/>
      <c r="FZ54" s="10"/>
      <c r="GA54" s="10"/>
      <c r="GB54" s="8"/>
      <c r="GC54" s="10"/>
      <c r="GD54" s="10"/>
      <c r="GE54" s="10"/>
      <c r="GF54" s="10"/>
      <c r="GG54" s="10"/>
      <c r="GH54" s="8"/>
      <c r="GI54" s="10"/>
      <c r="GJ54" s="10"/>
      <c r="GK54" s="10"/>
      <c r="GL54" s="10"/>
      <c r="GM54" s="10"/>
      <c r="GN54" s="8"/>
      <c r="GO54" s="10"/>
      <c r="GP54" s="10"/>
      <c r="GQ54" s="10"/>
      <c r="GR54" s="10"/>
      <c r="GS54" s="10"/>
      <c r="GT54" s="8"/>
      <c r="GU54" s="10"/>
      <c r="GV54" s="10"/>
      <c r="GW54" s="10"/>
      <c r="GX54" s="10"/>
      <c r="GY54" s="10"/>
      <c r="GZ54" s="8"/>
      <c r="HA54" s="10"/>
      <c r="HB54" s="10"/>
      <c r="HC54" s="10"/>
      <c r="HD54" s="10"/>
      <c r="HE54" s="10"/>
      <c r="HF54" s="8"/>
      <c r="HG54" s="10"/>
      <c r="HH54" s="10"/>
      <c r="HI54" s="10"/>
      <c r="HJ54" s="10"/>
      <c r="HK54" s="10"/>
      <c r="HL54" s="8"/>
      <c r="HM54" s="10"/>
      <c r="HN54" s="10"/>
      <c r="HO54" s="10"/>
      <c r="HP54" s="10"/>
      <c r="HQ54" s="10"/>
      <c r="HR54" s="8"/>
      <c r="HS54" s="10"/>
      <c r="HT54" s="10"/>
      <c r="HU54" s="10"/>
      <c r="HV54" s="10"/>
      <c r="HW54" s="10"/>
      <c r="HX54" s="8"/>
      <c r="HY54" s="10"/>
      <c r="HZ54" s="10"/>
      <c r="IA54" s="10"/>
      <c r="IB54" s="10"/>
      <c r="IC54" s="10"/>
      <c r="ID54" s="8"/>
      <c r="IE54" s="10"/>
      <c r="IF54" s="10"/>
      <c r="IG54" s="10"/>
      <c r="IH54" s="10"/>
      <c r="II54" s="10"/>
      <c r="IJ54" s="8"/>
      <c r="IK54" s="10"/>
      <c r="IL54" s="10"/>
      <c r="IM54" s="10"/>
      <c r="IN54" s="10"/>
      <c r="IO54" s="10"/>
      <c r="IP54" s="8"/>
      <c r="IQ54" s="10"/>
    </row>
    <row r="55" spans="1:251">
      <c r="A55" s="70"/>
      <c r="B55" s="10"/>
      <c r="C55" s="8"/>
      <c r="D55" s="10"/>
      <c r="E55" s="10"/>
      <c r="F55" s="10"/>
      <c r="G55" s="436"/>
      <c r="H55" s="10"/>
      <c r="I55" s="436"/>
      <c r="J55" s="8"/>
      <c r="K55" s="10"/>
      <c r="L55" s="80"/>
      <c r="M55" s="10"/>
      <c r="N55" s="10"/>
      <c r="O55" s="10"/>
      <c r="P55" s="8"/>
      <c r="Q55" s="10"/>
      <c r="R55" s="10"/>
      <c r="S55" s="10"/>
      <c r="T55" s="10"/>
      <c r="U55" s="10"/>
      <c r="V55" s="8"/>
      <c r="W55" s="10"/>
      <c r="X55" s="10"/>
      <c r="Y55" s="10"/>
      <c r="Z55" s="10"/>
      <c r="AA55" s="10"/>
      <c r="AB55" s="8"/>
      <c r="AC55" s="10"/>
      <c r="AD55" s="10"/>
      <c r="AE55" s="10"/>
      <c r="AF55" s="10"/>
      <c r="AG55" s="10"/>
      <c r="AH55" s="8"/>
      <c r="AI55" s="10"/>
      <c r="AJ55" s="10"/>
      <c r="AK55" s="10"/>
      <c r="AL55" s="10"/>
      <c r="AM55" s="10"/>
      <c r="AN55" s="8"/>
      <c r="AO55" s="10"/>
      <c r="AP55" s="10"/>
      <c r="AQ55" s="10"/>
      <c r="AR55" s="10"/>
      <c r="AS55" s="10"/>
      <c r="AT55" s="8"/>
      <c r="AU55" s="10"/>
      <c r="AV55" s="10"/>
      <c r="AW55" s="10"/>
      <c r="AX55" s="10"/>
      <c r="AY55" s="10"/>
      <c r="AZ55" s="8"/>
      <c r="BA55" s="10"/>
      <c r="BB55" s="10"/>
      <c r="BC55" s="10"/>
      <c r="BD55" s="10"/>
      <c r="BE55" s="10"/>
      <c r="BF55" s="8"/>
      <c r="BG55" s="10"/>
      <c r="BH55" s="10"/>
      <c r="BI55" s="10"/>
      <c r="BJ55" s="10"/>
      <c r="BK55" s="10"/>
      <c r="BL55" s="8"/>
      <c r="BM55" s="10"/>
      <c r="BN55" s="10"/>
      <c r="BO55" s="10"/>
      <c r="BP55" s="10"/>
      <c r="BQ55" s="10"/>
      <c r="BR55" s="8"/>
      <c r="BS55" s="10"/>
      <c r="BT55" s="10"/>
      <c r="BU55" s="10"/>
      <c r="BV55" s="10"/>
      <c r="BW55" s="10"/>
      <c r="BX55" s="8"/>
      <c r="BY55" s="10"/>
      <c r="BZ55" s="10"/>
      <c r="CA55" s="10"/>
      <c r="CB55" s="10"/>
      <c r="CC55" s="10"/>
      <c r="CD55" s="8"/>
      <c r="CE55" s="10"/>
      <c r="CF55" s="10"/>
      <c r="CG55" s="10"/>
      <c r="CH55" s="10"/>
      <c r="CI55" s="10"/>
      <c r="CJ55" s="8"/>
      <c r="CK55" s="10"/>
      <c r="CL55" s="10"/>
      <c r="CM55" s="10"/>
      <c r="CN55" s="10"/>
      <c r="CO55" s="10"/>
      <c r="CP55" s="8"/>
      <c r="CQ55" s="10"/>
      <c r="CR55" s="10"/>
      <c r="CS55" s="10"/>
      <c r="CT55" s="10"/>
      <c r="CU55" s="10"/>
      <c r="CV55" s="8"/>
      <c r="CW55" s="10"/>
      <c r="CX55" s="10"/>
      <c r="CY55" s="10"/>
      <c r="CZ55" s="10"/>
      <c r="DA55" s="10"/>
      <c r="DB55" s="8"/>
      <c r="DC55" s="10"/>
      <c r="DD55" s="10"/>
      <c r="DE55" s="10"/>
      <c r="DF55" s="10"/>
      <c r="DG55" s="10"/>
      <c r="DH55" s="8"/>
      <c r="DI55" s="10"/>
      <c r="DJ55" s="10"/>
      <c r="DK55" s="10"/>
      <c r="DL55" s="10"/>
      <c r="DM55" s="10"/>
      <c r="DN55" s="8"/>
      <c r="DO55" s="10"/>
      <c r="DP55" s="10"/>
      <c r="DQ55" s="10"/>
      <c r="DR55" s="10"/>
      <c r="DS55" s="10"/>
      <c r="DT55" s="8"/>
      <c r="DU55" s="10"/>
      <c r="DV55" s="10"/>
      <c r="DW55" s="10"/>
      <c r="DX55" s="10"/>
      <c r="DY55" s="10"/>
      <c r="DZ55" s="8"/>
      <c r="EA55" s="10"/>
      <c r="EB55" s="10"/>
      <c r="EC55" s="10"/>
      <c r="ED55" s="10"/>
      <c r="EE55" s="10"/>
      <c r="EF55" s="8"/>
      <c r="EG55" s="10"/>
      <c r="EH55" s="10"/>
      <c r="EI55" s="10"/>
      <c r="EJ55" s="10"/>
      <c r="EK55" s="10"/>
      <c r="EL55" s="8"/>
      <c r="EM55" s="10"/>
      <c r="EN55" s="10"/>
      <c r="EO55" s="10"/>
      <c r="EP55" s="10"/>
      <c r="EQ55" s="10"/>
      <c r="ER55" s="8"/>
      <c r="ES55" s="10"/>
      <c r="ET55" s="10"/>
      <c r="EU55" s="10"/>
      <c r="EV55" s="10"/>
      <c r="EW55" s="10"/>
      <c r="EX55" s="8"/>
      <c r="EY55" s="10"/>
      <c r="EZ55" s="10"/>
      <c r="FA55" s="10"/>
      <c r="FB55" s="10"/>
      <c r="FC55" s="10"/>
      <c r="FD55" s="8"/>
      <c r="FE55" s="10"/>
      <c r="FF55" s="10"/>
      <c r="FG55" s="10"/>
      <c r="FH55" s="10"/>
      <c r="FI55" s="10"/>
      <c r="FJ55" s="8"/>
      <c r="FK55" s="10"/>
      <c r="FL55" s="10"/>
      <c r="FM55" s="10"/>
      <c r="FN55" s="10"/>
      <c r="FO55" s="10"/>
      <c r="FP55" s="8"/>
      <c r="FQ55" s="10"/>
      <c r="FR55" s="10"/>
      <c r="FS55" s="10"/>
      <c r="FT55" s="10"/>
      <c r="FU55" s="10"/>
      <c r="FV55" s="8"/>
      <c r="FW55" s="10"/>
      <c r="FX55" s="10"/>
      <c r="FY55" s="10"/>
      <c r="FZ55" s="10"/>
      <c r="GA55" s="10"/>
      <c r="GB55" s="8"/>
      <c r="GC55" s="10"/>
      <c r="GD55" s="10"/>
      <c r="GE55" s="10"/>
      <c r="GF55" s="10"/>
      <c r="GG55" s="10"/>
      <c r="GH55" s="8"/>
      <c r="GI55" s="10"/>
      <c r="GJ55" s="10"/>
      <c r="GK55" s="10"/>
      <c r="GL55" s="10"/>
      <c r="GM55" s="10"/>
      <c r="GN55" s="8"/>
      <c r="GO55" s="10"/>
      <c r="GP55" s="10"/>
      <c r="GQ55" s="10"/>
      <c r="GR55" s="10"/>
      <c r="GS55" s="10"/>
      <c r="GT55" s="8"/>
      <c r="GU55" s="10"/>
      <c r="GV55" s="10"/>
      <c r="GW55" s="10"/>
      <c r="GX55" s="10"/>
      <c r="GY55" s="10"/>
      <c r="GZ55" s="8"/>
      <c r="HA55" s="10"/>
      <c r="HB55" s="10"/>
      <c r="HC55" s="10"/>
      <c r="HD55" s="10"/>
      <c r="HE55" s="10"/>
      <c r="HF55" s="8"/>
      <c r="HG55" s="10"/>
      <c r="HH55" s="10"/>
      <c r="HI55" s="10"/>
      <c r="HJ55" s="10"/>
      <c r="HK55" s="10"/>
      <c r="HL55" s="8"/>
      <c r="HM55" s="10"/>
      <c r="HN55" s="10"/>
      <c r="HO55" s="10"/>
      <c r="HP55" s="10"/>
      <c r="HQ55" s="10"/>
      <c r="HR55" s="8"/>
      <c r="HS55" s="10"/>
      <c r="HT55" s="10"/>
      <c r="HU55" s="10"/>
      <c r="HV55" s="10"/>
      <c r="HW55" s="10"/>
      <c r="HX55" s="8"/>
      <c r="HY55" s="10"/>
      <c r="HZ55" s="10"/>
      <c r="IA55" s="10"/>
      <c r="IB55" s="10"/>
      <c r="IC55" s="10"/>
      <c r="ID55" s="8"/>
      <c r="IE55" s="10"/>
      <c r="IF55" s="10"/>
      <c r="IG55" s="10"/>
      <c r="IH55" s="10"/>
      <c r="II55" s="10"/>
      <c r="IJ55" s="8"/>
      <c r="IK55" s="10"/>
      <c r="IL55" s="10"/>
      <c r="IM55" s="10"/>
      <c r="IN55" s="10"/>
      <c r="IO55" s="10"/>
      <c r="IP55" s="8"/>
      <c r="IQ55" s="10"/>
    </row>
    <row r="56" spans="1:251" ht="30.75" customHeight="1">
      <c r="A56" s="245">
        <v>20</v>
      </c>
      <c r="B56" s="10"/>
      <c r="C56" s="749" t="s">
        <v>629</v>
      </c>
      <c r="D56" s="10"/>
      <c r="E56" s="1014" t="s">
        <v>1405</v>
      </c>
      <c r="F56" s="1015"/>
      <c r="G56" s="407">
        <f>Inputs!D41</f>
        <v>238774053</v>
      </c>
      <c r="H56" s="78"/>
      <c r="I56" s="445">
        <f>Inputs!D112</f>
        <v>85279144.388324827</v>
      </c>
      <c r="J56" s="441"/>
      <c r="K56" s="1044"/>
      <c r="L56" s="1045"/>
      <c r="M56" s="10"/>
      <c r="N56" s="8"/>
      <c r="O56" s="10"/>
      <c r="P56" s="8"/>
      <c r="Q56" s="10"/>
      <c r="R56" s="10"/>
      <c r="S56" s="10"/>
      <c r="T56" s="10"/>
      <c r="U56" s="10"/>
      <c r="V56" s="8"/>
      <c r="W56" s="10"/>
      <c r="X56" s="10"/>
      <c r="Y56" s="10"/>
      <c r="Z56" s="10"/>
      <c r="AA56" s="10"/>
      <c r="AB56" s="8"/>
      <c r="AC56" s="10"/>
      <c r="AD56" s="10"/>
      <c r="AE56" s="10"/>
      <c r="AF56" s="10"/>
      <c r="AG56" s="10"/>
      <c r="AH56" s="8"/>
      <c r="AI56" s="10"/>
      <c r="AJ56" s="10"/>
      <c r="AK56" s="10"/>
      <c r="AL56" s="10"/>
      <c r="AM56" s="10"/>
      <c r="AN56" s="8"/>
      <c r="AO56" s="10"/>
      <c r="AP56" s="10"/>
      <c r="AQ56" s="10"/>
      <c r="AR56" s="10"/>
      <c r="AS56" s="10"/>
      <c r="AT56" s="8"/>
      <c r="AU56" s="10"/>
      <c r="AV56" s="10"/>
      <c r="AW56" s="10"/>
      <c r="AX56" s="10"/>
      <c r="AY56" s="10"/>
      <c r="AZ56" s="8"/>
      <c r="BA56" s="10"/>
      <c r="BB56" s="10"/>
      <c r="BC56" s="10"/>
      <c r="BD56" s="10"/>
      <c r="BE56" s="10"/>
      <c r="BF56" s="8"/>
      <c r="BG56" s="10"/>
      <c r="BH56" s="10"/>
      <c r="BI56" s="10"/>
      <c r="BJ56" s="10"/>
      <c r="BK56" s="10"/>
      <c r="BL56" s="8"/>
      <c r="BM56" s="10"/>
      <c r="BN56" s="10"/>
      <c r="BO56" s="10"/>
      <c r="BP56" s="10"/>
      <c r="BQ56" s="10"/>
      <c r="BR56" s="8"/>
      <c r="BS56" s="10"/>
      <c r="BT56" s="10"/>
      <c r="BU56" s="10"/>
      <c r="BV56" s="10"/>
      <c r="BW56" s="10"/>
      <c r="BX56" s="8"/>
      <c r="BY56" s="10"/>
      <c r="BZ56" s="10"/>
      <c r="CA56" s="10"/>
      <c r="CB56" s="10"/>
      <c r="CC56" s="10"/>
      <c r="CD56" s="8"/>
      <c r="CE56" s="10"/>
      <c r="CF56" s="10"/>
      <c r="CG56" s="10"/>
      <c r="CH56" s="10"/>
      <c r="CI56" s="10"/>
      <c r="CJ56" s="8"/>
      <c r="CK56" s="10"/>
      <c r="CL56" s="10"/>
      <c r="CM56" s="10"/>
      <c r="CN56" s="10"/>
      <c r="CO56" s="10"/>
      <c r="CP56" s="8"/>
      <c r="CQ56" s="10"/>
      <c r="CR56" s="10"/>
      <c r="CS56" s="10"/>
      <c r="CT56" s="10"/>
      <c r="CU56" s="10"/>
      <c r="CV56" s="8"/>
      <c r="CW56" s="10"/>
      <c r="CX56" s="10"/>
      <c r="CY56" s="10"/>
      <c r="CZ56" s="10"/>
      <c r="DA56" s="10"/>
      <c r="DB56" s="8"/>
      <c r="DC56" s="10"/>
      <c r="DD56" s="10"/>
      <c r="DE56" s="10"/>
      <c r="DF56" s="10"/>
      <c r="DG56" s="10"/>
      <c r="DH56" s="8"/>
      <c r="DI56" s="10"/>
      <c r="DJ56" s="10"/>
      <c r="DK56" s="10"/>
      <c r="DL56" s="10"/>
      <c r="DM56" s="10"/>
      <c r="DN56" s="8"/>
      <c r="DO56" s="10"/>
      <c r="DP56" s="10"/>
      <c r="DQ56" s="10"/>
      <c r="DR56" s="10"/>
      <c r="DS56" s="10"/>
      <c r="DT56" s="8"/>
      <c r="DU56" s="10"/>
      <c r="DV56" s="10"/>
      <c r="DW56" s="10"/>
      <c r="DX56" s="10"/>
      <c r="DY56" s="10"/>
      <c r="DZ56" s="8"/>
      <c r="EA56" s="10"/>
      <c r="EB56" s="10"/>
      <c r="EC56" s="10"/>
      <c r="ED56" s="10"/>
      <c r="EE56" s="10"/>
      <c r="EF56" s="8"/>
      <c r="EG56" s="10"/>
      <c r="EH56" s="10"/>
      <c r="EI56" s="10"/>
      <c r="EJ56" s="10"/>
      <c r="EK56" s="10"/>
      <c r="EL56" s="8"/>
      <c r="EM56" s="10"/>
      <c r="EN56" s="10"/>
      <c r="EO56" s="10"/>
      <c r="EP56" s="10"/>
      <c r="EQ56" s="10"/>
      <c r="ER56" s="8"/>
      <c r="ES56" s="10"/>
      <c r="ET56" s="10"/>
      <c r="EU56" s="10"/>
      <c r="EV56" s="10"/>
      <c r="EW56" s="10"/>
      <c r="EX56" s="8"/>
      <c r="EY56" s="10"/>
      <c r="EZ56" s="10"/>
      <c r="FA56" s="10"/>
      <c r="FB56" s="10"/>
      <c r="FC56" s="10"/>
      <c r="FD56" s="8"/>
      <c r="FE56" s="10"/>
      <c r="FF56" s="10"/>
      <c r="FG56" s="10"/>
      <c r="FH56" s="10"/>
      <c r="FI56" s="10"/>
      <c r="FJ56" s="8"/>
      <c r="FK56" s="10"/>
      <c r="FL56" s="10"/>
      <c r="FM56" s="10"/>
      <c r="FN56" s="10"/>
      <c r="FO56" s="10"/>
      <c r="FP56" s="8"/>
      <c r="FQ56" s="10"/>
      <c r="FR56" s="10"/>
      <c r="FS56" s="10"/>
      <c r="FT56" s="10"/>
      <c r="FU56" s="10"/>
      <c r="FV56" s="8"/>
      <c r="FW56" s="10"/>
      <c r="FX56" s="10"/>
      <c r="FY56" s="10"/>
      <c r="FZ56" s="10"/>
      <c r="GA56" s="10"/>
      <c r="GB56" s="8"/>
      <c r="GC56" s="10"/>
      <c r="GD56" s="10"/>
      <c r="GE56" s="10"/>
      <c r="GF56" s="10"/>
      <c r="GG56" s="10"/>
      <c r="GH56" s="8"/>
      <c r="GI56" s="10"/>
      <c r="GJ56" s="10"/>
      <c r="GK56" s="10"/>
      <c r="GL56" s="10"/>
      <c r="GM56" s="10"/>
      <c r="GN56" s="8"/>
      <c r="GO56" s="10"/>
      <c r="GP56" s="10"/>
      <c r="GQ56" s="10"/>
      <c r="GR56" s="10"/>
      <c r="GS56" s="10"/>
      <c r="GT56" s="8"/>
      <c r="GU56" s="10"/>
      <c r="GV56" s="10"/>
      <c r="GW56" s="10"/>
      <c r="GX56" s="10"/>
      <c r="GY56" s="10"/>
      <c r="GZ56" s="8"/>
      <c r="HA56" s="10"/>
      <c r="HB56" s="10"/>
      <c r="HC56" s="10"/>
      <c r="HD56" s="10"/>
      <c r="HE56" s="10"/>
      <c r="HF56" s="8"/>
      <c r="HG56" s="10"/>
      <c r="HH56" s="10"/>
      <c r="HI56" s="10"/>
      <c r="HJ56" s="10"/>
      <c r="HK56" s="10"/>
      <c r="HL56" s="8"/>
      <c r="HM56" s="10"/>
      <c r="HN56" s="10"/>
      <c r="HO56" s="10"/>
      <c r="HP56" s="10"/>
      <c r="HQ56" s="10"/>
      <c r="HR56" s="8"/>
      <c r="HS56" s="10"/>
      <c r="HT56" s="10"/>
      <c r="HU56" s="10"/>
      <c r="HV56" s="10"/>
      <c r="HW56" s="10"/>
      <c r="HX56" s="8"/>
      <c r="HY56" s="10"/>
      <c r="HZ56" s="10"/>
      <c r="IA56" s="10"/>
      <c r="IB56" s="10"/>
      <c r="IC56" s="10"/>
      <c r="ID56" s="8"/>
      <c r="IE56" s="10"/>
      <c r="IF56" s="10"/>
      <c r="IG56" s="10"/>
      <c r="IH56" s="10"/>
      <c r="II56" s="10"/>
      <c r="IJ56" s="8"/>
      <c r="IK56" s="10"/>
      <c r="IL56" s="10"/>
      <c r="IM56" s="10"/>
      <c r="IN56" s="10"/>
      <c r="IO56" s="10"/>
      <c r="IP56" s="8"/>
      <c r="IQ56" s="10"/>
    </row>
    <row r="57" spans="1:251">
      <c r="A57" s="70"/>
      <c r="B57" s="10"/>
      <c r="C57" s="8"/>
      <c r="D57" s="10"/>
      <c r="E57" s="10"/>
      <c r="G57" s="437"/>
      <c r="H57" s="77"/>
      <c r="I57" s="407"/>
      <c r="J57" s="441"/>
      <c r="K57" s="8"/>
      <c r="L57" s="76"/>
      <c r="M57" s="10"/>
      <c r="N57" s="8"/>
      <c r="O57" s="10"/>
      <c r="P57" s="8"/>
      <c r="Q57" s="10"/>
      <c r="R57" s="10"/>
      <c r="S57" s="10"/>
      <c r="T57" s="10"/>
      <c r="U57" s="10"/>
      <c r="V57" s="8"/>
      <c r="W57" s="10"/>
      <c r="X57" s="10"/>
      <c r="Y57" s="10"/>
      <c r="Z57" s="10"/>
      <c r="AA57" s="10"/>
      <c r="AB57" s="8"/>
      <c r="AC57" s="10"/>
      <c r="AD57" s="10"/>
      <c r="AE57" s="10"/>
      <c r="AF57" s="10"/>
      <c r="AG57" s="10"/>
      <c r="AH57" s="8"/>
      <c r="AI57" s="10"/>
      <c r="AJ57" s="10"/>
      <c r="AK57" s="10"/>
      <c r="AL57" s="10"/>
      <c r="AM57" s="10"/>
      <c r="AN57" s="8"/>
      <c r="AO57" s="10"/>
      <c r="AP57" s="10"/>
      <c r="AQ57" s="10"/>
      <c r="AR57" s="10"/>
      <c r="AS57" s="10"/>
      <c r="AT57" s="8"/>
      <c r="AU57" s="10"/>
      <c r="AV57" s="10"/>
      <c r="AW57" s="10"/>
      <c r="AX57" s="10"/>
      <c r="AY57" s="10"/>
      <c r="AZ57" s="8"/>
      <c r="BA57" s="10"/>
      <c r="BB57" s="10"/>
      <c r="BC57" s="10"/>
      <c r="BD57" s="10"/>
      <c r="BE57" s="10"/>
      <c r="BF57" s="8"/>
      <c r="BG57" s="10"/>
      <c r="BH57" s="10"/>
      <c r="BI57" s="10"/>
      <c r="BJ57" s="10"/>
      <c r="BK57" s="10"/>
      <c r="BL57" s="8"/>
      <c r="BM57" s="10"/>
      <c r="BN57" s="10"/>
      <c r="BO57" s="10"/>
      <c r="BP57" s="10"/>
      <c r="BQ57" s="10"/>
      <c r="BR57" s="8"/>
      <c r="BS57" s="10"/>
      <c r="BT57" s="10"/>
      <c r="BU57" s="10"/>
      <c r="BV57" s="10"/>
      <c r="BW57" s="10"/>
      <c r="BX57" s="8"/>
      <c r="BY57" s="10"/>
      <c r="BZ57" s="10"/>
      <c r="CA57" s="10"/>
      <c r="CB57" s="10"/>
      <c r="CC57" s="10"/>
      <c r="CD57" s="8"/>
      <c r="CE57" s="10"/>
      <c r="CF57" s="10"/>
      <c r="CG57" s="10"/>
      <c r="CH57" s="10"/>
      <c r="CI57" s="10"/>
      <c r="CJ57" s="8"/>
      <c r="CK57" s="10"/>
      <c r="CL57" s="10"/>
      <c r="CM57" s="10"/>
      <c r="CN57" s="10"/>
      <c r="CO57" s="10"/>
      <c r="CP57" s="8"/>
      <c r="CQ57" s="10"/>
      <c r="CR57" s="10"/>
      <c r="CS57" s="10"/>
      <c r="CT57" s="10"/>
      <c r="CU57" s="10"/>
      <c r="CV57" s="8"/>
      <c r="CW57" s="10"/>
      <c r="CX57" s="10"/>
      <c r="CY57" s="10"/>
      <c r="CZ57" s="10"/>
      <c r="DA57" s="10"/>
      <c r="DB57" s="8"/>
      <c r="DC57" s="10"/>
      <c r="DD57" s="10"/>
      <c r="DE57" s="10"/>
      <c r="DF57" s="10"/>
      <c r="DG57" s="10"/>
      <c r="DH57" s="8"/>
      <c r="DI57" s="10"/>
      <c r="DJ57" s="10"/>
      <c r="DK57" s="10"/>
      <c r="DL57" s="10"/>
      <c r="DM57" s="10"/>
      <c r="DN57" s="8"/>
      <c r="DO57" s="10"/>
      <c r="DP57" s="10"/>
      <c r="DQ57" s="10"/>
      <c r="DR57" s="10"/>
      <c r="DS57" s="10"/>
      <c r="DT57" s="8"/>
      <c r="DU57" s="10"/>
      <c r="DV57" s="10"/>
      <c r="DW57" s="10"/>
      <c r="DX57" s="10"/>
      <c r="DY57" s="10"/>
      <c r="DZ57" s="8"/>
      <c r="EA57" s="10"/>
      <c r="EB57" s="10"/>
      <c r="EC57" s="10"/>
      <c r="ED57" s="10"/>
      <c r="EE57" s="10"/>
      <c r="EF57" s="8"/>
      <c r="EG57" s="10"/>
      <c r="EH57" s="10"/>
      <c r="EI57" s="10"/>
      <c r="EJ57" s="10"/>
      <c r="EK57" s="10"/>
      <c r="EL57" s="8"/>
      <c r="EM57" s="10"/>
      <c r="EN57" s="10"/>
      <c r="EO57" s="10"/>
      <c r="EP57" s="10"/>
      <c r="EQ57" s="10"/>
      <c r="ER57" s="8"/>
      <c r="ES57" s="10"/>
      <c r="ET57" s="10"/>
      <c r="EU57" s="10"/>
      <c r="EV57" s="10"/>
      <c r="EW57" s="10"/>
      <c r="EX57" s="8"/>
      <c r="EY57" s="10"/>
      <c r="EZ57" s="10"/>
      <c r="FA57" s="10"/>
      <c r="FB57" s="10"/>
      <c r="FC57" s="10"/>
      <c r="FD57" s="8"/>
      <c r="FE57" s="10"/>
      <c r="FF57" s="10"/>
      <c r="FG57" s="10"/>
      <c r="FH57" s="10"/>
      <c r="FI57" s="10"/>
      <c r="FJ57" s="8"/>
      <c r="FK57" s="10"/>
      <c r="FL57" s="10"/>
      <c r="FM57" s="10"/>
      <c r="FN57" s="10"/>
      <c r="FO57" s="10"/>
      <c r="FP57" s="8"/>
      <c r="FQ57" s="10"/>
      <c r="FR57" s="10"/>
      <c r="FS57" s="10"/>
      <c r="FT57" s="10"/>
      <c r="FU57" s="10"/>
      <c r="FV57" s="8"/>
      <c r="FW57" s="10"/>
      <c r="FX57" s="10"/>
      <c r="FY57" s="10"/>
      <c r="FZ57" s="10"/>
      <c r="GA57" s="10"/>
      <c r="GB57" s="8"/>
      <c r="GC57" s="10"/>
      <c r="GD57" s="10"/>
      <c r="GE57" s="10"/>
      <c r="GF57" s="10"/>
      <c r="GG57" s="10"/>
      <c r="GH57" s="8"/>
      <c r="GI57" s="10"/>
      <c r="GJ57" s="10"/>
      <c r="GK57" s="10"/>
      <c r="GL57" s="10"/>
      <c r="GM57" s="10"/>
      <c r="GN57" s="8"/>
      <c r="GO57" s="10"/>
      <c r="GP57" s="10"/>
      <c r="GQ57" s="10"/>
      <c r="GR57" s="10"/>
      <c r="GS57" s="10"/>
      <c r="GT57" s="8"/>
      <c r="GU57" s="10"/>
      <c r="GV57" s="10"/>
      <c r="GW57" s="10"/>
      <c r="GX57" s="10"/>
      <c r="GY57" s="10"/>
      <c r="GZ57" s="8"/>
      <c r="HA57" s="10"/>
      <c r="HB57" s="10"/>
      <c r="HC57" s="10"/>
      <c r="HD57" s="10"/>
      <c r="HE57" s="10"/>
      <c r="HF57" s="8"/>
      <c r="HG57" s="10"/>
      <c r="HH57" s="10"/>
      <c r="HI57" s="10"/>
      <c r="HJ57" s="10"/>
      <c r="HK57" s="10"/>
      <c r="HL57" s="8"/>
      <c r="HM57" s="10"/>
      <c r="HN57" s="10"/>
      <c r="HO57" s="10"/>
      <c r="HP57" s="10"/>
      <c r="HQ57" s="10"/>
      <c r="HR57" s="8"/>
      <c r="HS57" s="10"/>
      <c r="HT57" s="10"/>
      <c r="HU57" s="10"/>
      <c r="HV57" s="10"/>
      <c r="HW57" s="10"/>
      <c r="HX57" s="8"/>
      <c r="HY57" s="10"/>
      <c r="HZ57" s="10"/>
      <c r="IA57" s="10"/>
      <c r="IB57" s="10"/>
      <c r="IC57" s="10"/>
      <c r="ID57" s="8"/>
      <c r="IE57" s="10"/>
      <c r="IF57" s="10"/>
      <c r="IG57" s="10"/>
      <c r="IH57" s="10"/>
      <c r="II57" s="10"/>
      <c r="IJ57" s="8"/>
      <c r="IK57" s="10"/>
      <c r="IL57" s="10"/>
      <c r="IM57" s="10"/>
      <c r="IN57" s="10"/>
      <c r="IO57" s="10"/>
      <c r="IP57" s="8"/>
      <c r="IQ57" s="10"/>
    </row>
    <row r="58" spans="1:251" ht="15.6">
      <c r="A58" s="245" t="s">
        <v>626</v>
      </c>
      <c r="B58" s="10"/>
      <c r="C58" s="244" t="s">
        <v>711</v>
      </c>
      <c r="E58" s="10"/>
      <c r="F58" s="243"/>
      <c r="G58" s="440">
        <f>+I56/G56</f>
        <v>0.35715415187229255</v>
      </c>
      <c r="H58" s="26"/>
      <c r="I58" s="438"/>
      <c r="K58" s="8"/>
      <c r="L58" s="76"/>
      <c r="M58" s="10"/>
      <c r="N58" s="8"/>
      <c r="O58" s="10"/>
      <c r="P58" s="8"/>
      <c r="Q58" s="10"/>
      <c r="R58" s="10"/>
      <c r="S58" s="10"/>
      <c r="T58" s="10"/>
      <c r="U58" s="10"/>
      <c r="V58" s="8"/>
      <c r="W58" s="10"/>
      <c r="X58" s="10"/>
      <c r="Y58" s="10"/>
      <c r="Z58" s="10"/>
      <c r="AA58" s="10"/>
      <c r="AB58" s="8"/>
      <c r="AC58" s="10"/>
      <c r="AD58" s="10"/>
      <c r="AE58" s="10"/>
      <c r="AF58" s="10"/>
      <c r="AG58" s="10"/>
      <c r="AH58" s="8"/>
      <c r="AI58" s="10"/>
      <c r="AJ58" s="10"/>
      <c r="AK58" s="10"/>
      <c r="AL58" s="10"/>
      <c r="AM58" s="10"/>
      <c r="AN58" s="8"/>
      <c r="AO58" s="10"/>
      <c r="AP58" s="10"/>
      <c r="AQ58" s="10"/>
      <c r="AR58" s="10"/>
      <c r="AS58" s="10"/>
      <c r="AT58" s="8"/>
      <c r="AU58" s="10"/>
      <c r="AV58" s="10"/>
      <c r="AW58" s="10"/>
      <c r="AX58" s="10"/>
      <c r="AY58" s="10"/>
      <c r="AZ58" s="8"/>
      <c r="BA58" s="10"/>
      <c r="BB58" s="10"/>
      <c r="BC58" s="10"/>
      <c r="BD58" s="10"/>
      <c r="BE58" s="10"/>
      <c r="BF58" s="8"/>
      <c r="BG58" s="10"/>
      <c r="BH58" s="10"/>
      <c r="BI58" s="10"/>
      <c r="BJ58" s="10"/>
      <c r="BK58" s="10"/>
      <c r="BL58" s="8"/>
      <c r="BM58" s="10"/>
      <c r="BN58" s="10"/>
      <c r="BO58" s="10"/>
      <c r="BP58" s="10"/>
      <c r="BQ58" s="10"/>
      <c r="BR58" s="8"/>
      <c r="BS58" s="10"/>
      <c r="BT58" s="10"/>
      <c r="BU58" s="10"/>
      <c r="BV58" s="10"/>
      <c r="BW58" s="10"/>
      <c r="BX58" s="8"/>
      <c r="BY58" s="10"/>
      <c r="BZ58" s="10"/>
      <c r="CA58" s="10"/>
      <c r="CB58" s="10"/>
      <c r="CC58" s="10"/>
      <c r="CD58" s="8"/>
      <c r="CE58" s="10"/>
      <c r="CF58" s="10"/>
      <c r="CG58" s="10"/>
      <c r="CH58" s="10"/>
      <c r="CI58" s="10"/>
      <c r="CJ58" s="8"/>
      <c r="CK58" s="10"/>
      <c r="CL58" s="10"/>
      <c r="CM58" s="10"/>
      <c r="CN58" s="10"/>
      <c r="CO58" s="10"/>
      <c r="CP58" s="8"/>
      <c r="CQ58" s="10"/>
      <c r="CR58" s="10"/>
      <c r="CS58" s="10"/>
      <c r="CT58" s="10"/>
      <c r="CU58" s="10"/>
      <c r="CV58" s="8"/>
      <c r="CW58" s="10"/>
      <c r="CX58" s="10"/>
      <c r="CY58" s="10"/>
      <c r="CZ58" s="10"/>
      <c r="DA58" s="10"/>
      <c r="DB58" s="8"/>
      <c r="DC58" s="10"/>
      <c r="DD58" s="10"/>
      <c r="DE58" s="10"/>
      <c r="DF58" s="10"/>
      <c r="DG58" s="10"/>
      <c r="DH58" s="8"/>
      <c r="DI58" s="10"/>
      <c r="DJ58" s="10"/>
      <c r="DK58" s="10"/>
      <c r="DL58" s="10"/>
      <c r="DM58" s="10"/>
      <c r="DN58" s="8"/>
      <c r="DO58" s="10"/>
      <c r="DP58" s="10"/>
      <c r="DQ58" s="10"/>
      <c r="DR58" s="10"/>
      <c r="DS58" s="10"/>
      <c r="DT58" s="8"/>
      <c r="DU58" s="10"/>
      <c r="DV58" s="10"/>
      <c r="DW58" s="10"/>
      <c r="DX58" s="10"/>
      <c r="DY58" s="10"/>
      <c r="DZ58" s="8"/>
      <c r="EA58" s="10"/>
      <c r="EB58" s="10"/>
      <c r="EC58" s="10"/>
      <c r="ED58" s="10"/>
      <c r="EE58" s="10"/>
      <c r="EF58" s="8"/>
      <c r="EG58" s="10"/>
      <c r="EH58" s="10"/>
      <c r="EI58" s="10"/>
      <c r="EJ58" s="10"/>
      <c r="EK58" s="10"/>
      <c r="EL58" s="8"/>
      <c r="EM58" s="10"/>
      <c r="EN58" s="10"/>
      <c r="EO58" s="10"/>
      <c r="EP58" s="10"/>
      <c r="EQ58" s="10"/>
      <c r="ER58" s="8"/>
      <c r="ES58" s="10"/>
      <c r="ET58" s="10"/>
      <c r="EU58" s="10"/>
      <c r="EV58" s="10"/>
      <c r="EW58" s="10"/>
      <c r="EX58" s="8"/>
      <c r="EY58" s="10"/>
      <c r="EZ58" s="10"/>
      <c r="FA58" s="10"/>
      <c r="FB58" s="10"/>
      <c r="FC58" s="10"/>
      <c r="FD58" s="8"/>
      <c r="FE58" s="10"/>
      <c r="FF58" s="10"/>
      <c r="FG58" s="10"/>
      <c r="FH58" s="10"/>
      <c r="FI58" s="10"/>
      <c r="FJ58" s="8"/>
      <c r="FK58" s="10"/>
      <c r="FL58" s="10"/>
      <c r="FM58" s="10"/>
      <c r="FN58" s="10"/>
      <c r="FO58" s="10"/>
      <c r="FP58" s="8"/>
      <c r="FQ58" s="10"/>
      <c r="FR58" s="10"/>
      <c r="FS58" s="10"/>
      <c r="FT58" s="10"/>
      <c r="FU58" s="10"/>
      <c r="FV58" s="8"/>
      <c r="FW58" s="10"/>
      <c r="FX58" s="10"/>
      <c r="FY58" s="10"/>
      <c r="FZ58" s="10"/>
      <c r="GA58" s="10"/>
      <c r="GB58" s="8"/>
      <c r="GC58" s="10"/>
      <c r="GD58" s="10"/>
      <c r="GE58" s="10"/>
      <c r="GF58" s="10"/>
      <c r="GG58" s="10"/>
      <c r="GH58" s="8"/>
      <c r="GI58" s="10"/>
      <c r="GJ58" s="10"/>
      <c r="GK58" s="10"/>
      <c r="GL58" s="10"/>
      <c r="GM58" s="10"/>
      <c r="GN58" s="8"/>
      <c r="GO58" s="10"/>
      <c r="GP58" s="10"/>
      <c r="GQ58" s="10"/>
      <c r="GR58" s="10"/>
      <c r="GS58" s="10"/>
      <c r="GT58" s="8"/>
      <c r="GU58" s="10"/>
      <c r="GV58" s="10"/>
      <c r="GW58" s="10"/>
      <c r="GX58" s="10"/>
      <c r="GY58" s="10"/>
      <c r="GZ58" s="8"/>
      <c r="HA58" s="10"/>
      <c r="HB58" s="10"/>
      <c r="HC58" s="10"/>
      <c r="HD58" s="10"/>
      <c r="HE58" s="10"/>
      <c r="HF58" s="8"/>
      <c r="HG58" s="10"/>
      <c r="HH58" s="10"/>
      <c r="HI58" s="10"/>
      <c r="HJ58" s="10"/>
      <c r="HK58" s="10"/>
      <c r="HL58" s="8"/>
      <c r="HM58" s="10"/>
      <c r="HN58" s="10"/>
      <c r="HO58" s="10"/>
      <c r="HP58" s="10"/>
      <c r="HQ58" s="10"/>
      <c r="HR58" s="8"/>
      <c r="HS58" s="10"/>
      <c r="HT58" s="10"/>
      <c r="HU58" s="10"/>
      <c r="HV58" s="10"/>
      <c r="HW58" s="10"/>
      <c r="HX58" s="8"/>
      <c r="HY58" s="10"/>
      <c r="HZ58" s="10"/>
      <c r="IA58" s="10"/>
      <c r="IB58" s="10"/>
      <c r="IC58" s="10"/>
      <c r="ID58" s="8"/>
      <c r="IE58" s="10"/>
      <c r="IF58" s="10"/>
      <c r="IG58" s="10"/>
      <c r="IH58" s="10"/>
      <c r="II58" s="10"/>
      <c r="IJ58" s="8"/>
      <c r="IK58" s="10"/>
      <c r="IL58" s="10"/>
      <c r="IM58" s="10"/>
      <c r="IN58" s="10"/>
      <c r="IO58" s="10"/>
      <c r="IP58" s="8"/>
      <c r="IQ58" s="10"/>
    </row>
    <row r="59" spans="1:251" ht="15.6" thickBot="1">
      <c r="A59" s="71"/>
      <c r="B59" s="79"/>
      <c r="C59" s="79"/>
      <c r="D59" s="79"/>
      <c r="E59" s="79"/>
      <c r="F59" s="79"/>
      <c r="G59" s="408"/>
      <c r="H59" s="74"/>
      <c r="I59" s="404"/>
      <c r="J59" s="74"/>
      <c r="K59" s="331"/>
      <c r="L59" s="417"/>
      <c r="M59" s="10"/>
      <c r="N59" s="10"/>
      <c r="O59" s="10"/>
      <c r="P59" s="8"/>
      <c r="Q59" s="10"/>
      <c r="R59" s="10"/>
      <c r="S59" s="10"/>
      <c r="T59" s="10"/>
      <c r="U59" s="10"/>
      <c r="V59" s="8"/>
      <c r="W59" s="10"/>
      <c r="X59" s="10"/>
      <c r="Y59" s="10"/>
      <c r="Z59" s="10"/>
      <c r="AA59" s="10"/>
      <c r="AB59" s="8"/>
      <c r="AC59" s="10"/>
      <c r="AD59" s="10"/>
      <c r="AE59" s="10"/>
      <c r="AF59" s="10"/>
      <c r="AG59" s="10"/>
      <c r="AH59" s="8"/>
      <c r="AI59" s="10"/>
      <c r="AJ59" s="10"/>
      <c r="AK59" s="10"/>
      <c r="AL59" s="10"/>
      <c r="AM59" s="10"/>
      <c r="AN59" s="8"/>
      <c r="AO59" s="10"/>
      <c r="AP59" s="10"/>
      <c r="AQ59" s="10"/>
      <c r="AR59" s="10"/>
      <c r="AS59" s="10"/>
      <c r="AT59" s="8"/>
      <c r="AU59" s="10"/>
      <c r="AV59" s="10"/>
      <c r="AW59" s="10"/>
      <c r="AX59" s="10"/>
      <c r="AY59" s="10"/>
      <c r="AZ59" s="8"/>
      <c r="BA59" s="10"/>
      <c r="BB59" s="10"/>
      <c r="BC59" s="10"/>
      <c r="BD59" s="10"/>
      <c r="BE59" s="10"/>
      <c r="BF59" s="8"/>
      <c r="BG59" s="10"/>
      <c r="BH59" s="10"/>
      <c r="BI59" s="10"/>
      <c r="BJ59" s="10"/>
      <c r="BK59" s="10"/>
      <c r="BL59" s="8"/>
      <c r="BM59" s="10"/>
      <c r="BN59" s="10"/>
      <c r="BO59" s="10"/>
      <c r="BP59" s="10"/>
      <c r="BQ59" s="10"/>
      <c r="BR59" s="8"/>
      <c r="BS59" s="10"/>
      <c r="BT59" s="10"/>
      <c r="BU59" s="10"/>
      <c r="BV59" s="10"/>
      <c r="BW59" s="10"/>
      <c r="BX59" s="8"/>
      <c r="BY59" s="10"/>
      <c r="BZ59" s="10"/>
      <c r="CA59" s="10"/>
      <c r="CB59" s="10"/>
      <c r="CC59" s="10"/>
      <c r="CD59" s="8"/>
      <c r="CE59" s="10"/>
      <c r="CF59" s="10"/>
      <c r="CG59" s="10"/>
      <c r="CH59" s="10"/>
      <c r="CI59" s="10"/>
      <c r="CJ59" s="8"/>
      <c r="CK59" s="10"/>
      <c r="CL59" s="10"/>
      <c r="CM59" s="10"/>
      <c r="CN59" s="10"/>
      <c r="CO59" s="10"/>
      <c r="CP59" s="8"/>
      <c r="CQ59" s="10"/>
      <c r="CR59" s="10"/>
      <c r="CS59" s="10"/>
      <c r="CT59" s="10"/>
      <c r="CU59" s="10"/>
      <c r="CV59" s="8"/>
      <c r="CW59" s="10"/>
      <c r="CX59" s="10"/>
      <c r="CY59" s="10"/>
      <c r="CZ59" s="10"/>
      <c r="DA59" s="10"/>
      <c r="DB59" s="8"/>
      <c r="DC59" s="10"/>
      <c r="DD59" s="10"/>
      <c r="DE59" s="10"/>
      <c r="DF59" s="10"/>
      <c r="DG59" s="10"/>
      <c r="DH59" s="8"/>
      <c r="DI59" s="10"/>
      <c r="DJ59" s="10"/>
      <c r="DK59" s="10"/>
      <c r="DL59" s="10"/>
      <c r="DM59" s="10"/>
      <c r="DN59" s="8"/>
      <c r="DO59" s="10"/>
      <c r="DP59" s="10"/>
      <c r="DQ59" s="10"/>
      <c r="DR59" s="10"/>
      <c r="DS59" s="10"/>
      <c r="DT59" s="8"/>
      <c r="DU59" s="10"/>
      <c r="DV59" s="10"/>
      <c r="DW59" s="10"/>
      <c r="DX59" s="10"/>
      <c r="DY59" s="10"/>
      <c r="DZ59" s="8"/>
      <c r="EA59" s="10"/>
      <c r="EB59" s="10"/>
      <c r="EC59" s="10"/>
      <c r="ED59" s="10"/>
      <c r="EE59" s="10"/>
      <c r="EF59" s="8"/>
      <c r="EG59" s="10"/>
      <c r="EH59" s="10"/>
      <c r="EI59" s="10"/>
      <c r="EJ59" s="10"/>
      <c r="EK59" s="10"/>
      <c r="EL59" s="8"/>
      <c r="EM59" s="10"/>
      <c r="EN59" s="10"/>
      <c r="EO59" s="10"/>
      <c r="EP59" s="10"/>
      <c r="EQ59" s="10"/>
      <c r="ER59" s="8"/>
      <c r="ES59" s="10"/>
      <c r="ET59" s="10"/>
      <c r="EU59" s="10"/>
      <c r="EV59" s="10"/>
      <c r="EW59" s="10"/>
      <c r="EX59" s="8"/>
      <c r="EY59" s="10"/>
      <c r="EZ59" s="10"/>
      <c r="FA59" s="10"/>
      <c r="FB59" s="10"/>
      <c r="FC59" s="10"/>
      <c r="FD59" s="8"/>
      <c r="FE59" s="10"/>
      <c r="FF59" s="10"/>
      <c r="FG59" s="10"/>
      <c r="FH59" s="10"/>
      <c r="FI59" s="10"/>
      <c r="FJ59" s="8"/>
      <c r="FK59" s="10"/>
      <c r="FL59" s="10"/>
      <c r="FM59" s="10"/>
      <c r="FN59" s="10"/>
      <c r="FO59" s="10"/>
      <c r="FP59" s="8"/>
      <c r="FQ59" s="10"/>
      <c r="FR59" s="10"/>
      <c r="FS59" s="10"/>
      <c r="FT59" s="10"/>
      <c r="FU59" s="10"/>
      <c r="FV59" s="8"/>
      <c r="FW59" s="10"/>
      <c r="FX59" s="10"/>
      <c r="FY59" s="10"/>
      <c r="FZ59" s="10"/>
      <c r="GA59" s="10"/>
      <c r="GB59" s="8"/>
      <c r="GC59" s="10"/>
      <c r="GD59" s="10"/>
      <c r="GE59" s="10"/>
      <c r="GF59" s="10"/>
      <c r="GG59" s="10"/>
      <c r="GH59" s="8"/>
      <c r="GI59" s="10"/>
      <c r="GJ59" s="10"/>
      <c r="GK59" s="10"/>
      <c r="GL59" s="10"/>
      <c r="GM59" s="10"/>
      <c r="GN59" s="8"/>
      <c r="GO59" s="10"/>
      <c r="GP59" s="10"/>
      <c r="GQ59" s="10"/>
      <c r="GR59" s="10"/>
      <c r="GS59" s="10"/>
      <c r="GT59" s="8"/>
      <c r="GU59" s="10"/>
      <c r="GV59" s="10"/>
      <c r="GW59" s="10"/>
      <c r="GX59" s="10"/>
      <c r="GY59" s="10"/>
      <c r="GZ59" s="8"/>
      <c r="HA59" s="10"/>
      <c r="HB59" s="10"/>
      <c r="HC59" s="10"/>
      <c r="HD59" s="10"/>
      <c r="HE59" s="10"/>
      <c r="HF59" s="8"/>
      <c r="HG59" s="10"/>
      <c r="HH59" s="10"/>
      <c r="HI59" s="10"/>
      <c r="HJ59" s="10"/>
      <c r="HK59" s="10"/>
      <c r="HL59" s="8"/>
      <c r="HM59" s="10"/>
      <c r="HN59" s="10"/>
      <c r="HO59" s="10"/>
      <c r="HP59" s="10"/>
      <c r="HQ59" s="10"/>
      <c r="HR59" s="8"/>
      <c r="HS59" s="10"/>
      <c r="HT59" s="10"/>
      <c r="HU59" s="10"/>
      <c r="HV59" s="10"/>
      <c r="HW59" s="10"/>
      <c r="HX59" s="8"/>
      <c r="HY59" s="10"/>
      <c r="HZ59" s="10"/>
      <c r="IA59" s="10"/>
      <c r="IB59" s="10"/>
      <c r="IC59" s="10"/>
      <c r="ID59" s="8"/>
      <c r="IE59" s="10"/>
      <c r="IF59" s="10"/>
      <c r="IG59" s="10"/>
      <c r="IH59" s="10"/>
      <c r="II59" s="10"/>
      <c r="IJ59" s="8"/>
      <c r="IK59" s="10"/>
      <c r="IL59" s="10"/>
      <c r="IM59" s="10"/>
      <c r="IN59" s="10"/>
      <c r="IO59" s="10"/>
      <c r="IP59" s="8"/>
      <c r="IQ59" s="10"/>
    </row>
    <row r="60" spans="1:251" ht="7.5" customHeight="1"/>
    <row r="61" spans="1:251">
      <c r="F61" s="7" t="s">
        <v>411</v>
      </c>
    </row>
    <row r="62" spans="1:251">
      <c r="F62" s="7" t="s">
        <v>504</v>
      </c>
    </row>
  </sheetData>
  <mergeCells count="36">
    <mergeCell ref="K56:L56"/>
    <mergeCell ref="A2:L2"/>
    <mergeCell ref="A3:L3"/>
    <mergeCell ref="A29:F29"/>
    <mergeCell ref="K29:L29"/>
    <mergeCell ref="K31:L31"/>
    <mergeCell ref="A35:F35"/>
    <mergeCell ref="A23:F23"/>
    <mergeCell ref="I35:L35"/>
    <mergeCell ref="K20:L20"/>
    <mergeCell ref="K42:L42"/>
    <mergeCell ref="K24:L26"/>
    <mergeCell ref="A5:F5"/>
    <mergeCell ref="K5:L5"/>
    <mergeCell ref="K23:L23"/>
    <mergeCell ref="K45:L45"/>
    <mergeCell ref="I36:L39"/>
    <mergeCell ref="E38:F38"/>
    <mergeCell ref="K12:L12"/>
    <mergeCell ref="E13:F13"/>
    <mergeCell ref="E14:F14"/>
    <mergeCell ref="E15:F15"/>
    <mergeCell ref="E25:F25"/>
    <mergeCell ref="A18:F18"/>
    <mergeCell ref="K18:L18"/>
    <mergeCell ref="E20:F20"/>
    <mergeCell ref="K32:L32"/>
    <mergeCell ref="E47:F47"/>
    <mergeCell ref="E56:F56"/>
    <mergeCell ref="E6:F6"/>
    <mergeCell ref="E7:F7"/>
    <mergeCell ref="A12:F12"/>
    <mergeCell ref="E8:F8"/>
    <mergeCell ref="A53:F53"/>
    <mergeCell ref="E45:F45"/>
    <mergeCell ref="A42:F42"/>
  </mergeCells>
  <phoneticPr fontId="0" type="noConversion"/>
  <printOptions horizontalCentered="1"/>
  <pageMargins left="0.7" right="0.7" top="0.75" bottom="0.75" header="0.3" footer="0.3"/>
  <pageSetup scale="40" fitToHeight="4" orientation="landscape" r:id="rId1"/>
  <headerFooter>
    <oddHeader>&amp;C&amp;"Arial,Bold"ADDENDUM 27 TO ATTACHMENT H, Page &amp;P of &amp;N
NorthWestern Corporation (South Dakota)</oddHeader>
  </headerFooter>
  <rowBreaks count="1" manualBreakCount="1">
    <brk id="8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3"/>
  <sheetViews>
    <sheetView workbookViewId="0">
      <selection activeCell="D12" sqref="D12"/>
    </sheetView>
  </sheetViews>
  <sheetFormatPr defaultColWidth="9.109375" defaultRowHeight="13.2"/>
  <cols>
    <col min="1" max="1" width="5.6640625" style="102" customWidth="1"/>
    <col min="2" max="2" width="15.6640625" style="102" customWidth="1"/>
    <col min="3" max="3" width="0.88671875" style="102" customWidth="1"/>
    <col min="4" max="4" width="15.6640625" style="102" customWidth="1"/>
    <col min="5" max="5" width="9.109375" style="102"/>
    <col min="6" max="6" width="0.88671875" style="102" customWidth="1"/>
    <col min="7" max="7" width="18.6640625" style="102" customWidth="1"/>
    <col min="8" max="8" width="0.88671875" style="102" customWidth="1"/>
    <col min="9" max="9" width="9.33203125" style="102" bestFit="1" customWidth="1"/>
    <col min="10" max="10" width="9.109375" style="102"/>
    <col min="11" max="11" width="0.88671875" style="102" customWidth="1"/>
    <col min="12" max="12" width="18.6640625" style="102" customWidth="1"/>
    <col min="13" max="16384" width="9.109375" style="102"/>
  </cols>
  <sheetData>
    <row r="1" spans="1:12" ht="20.399999999999999">
      <c r="A1" s="1064" t="s">
        <v>131</v>
      </c>
      <c r="B1" s="1065"/>
      <c r="C1" s="1065"/>
      <c r="D1" s="1065"/>
      <c r="E1" s="1065"/>
      <c r="F1" s="1065"/>
      <c r="G1" s="1065"/>
      <c r="H1" s="1065"/>
      <c r="I1" s="1065"/>
      <c r="J1" s="1065"/>
      <c r="K1" s="1065"/>
      <c r="L1" s="1065"/>
    </row>
    <row r="2" spans="1:12" ht="19.2">
      <c r="A2" s="1066" t="str">
        <f>Inputs!B2</f>
        <v>(For Rate Year Beginning April 1, 2026, Based on December 31, 2025 Data)</v>
      </c>
      <c r="B2" s="1067"/>
      <c r="C2" s="1067"/>
      <c r="D2" s="1067"/>
      <c r="E2" s="1067"/>
      <c r="F2" s="1067"/>
      <c r="G2" s="1067"/>
      <c r="H2" s="1065"/>
      <c r="I2" s="1065"/>
      <c r="J2" s="1065"/>
      <c r="K2" s="1065"/>
      <c r="L2" s="1065"/>
    </row>
    <row r="5" spans="1:12">
      <c r="B5" s="1062" t="s">
        <v>530</v>
      </c>
      <c r="D5" s="1068" t="s">
        <v>529</v>
      </c>
      <c r="E5" s="1069"/>
      <c r="G5" s="1062" t="s">
        <v>597</v>
      </c>
      <c r="H5" s="117"/>
      <c r="I5" s="1068" t="s">
        <v>528</v>
      </c>
      <c r="J5" s="1072"/>
      <c r="L5" s="1062" t="s">
        <v>527</v>
      </c>
    </row>
    <row r="6" spans="1:12">
      <c r="B6" s="1063"/>
      <c r="D6" s="1070"/>
      <c r="E6" s="1071"/>
      <c r="G6" s="1074"/>
      <c r="H6" s="117"/>
      <c r="I6" s="1070"/>
      <c r="J6" s="1073"/>
      <c r="L6" s="1063"/>
    </row>
    <row r="7" spans="1:12">
      <c r="D7" s="116" t="s">
        <v>407</v>
      </c>
      <c r="E7" s="116" t="s">
        <v>263</v>
      </c>
      <c r="G7" s="118" t="s">
        <v>526</v>
      </c>
      <c r="H7" s="117"/>
      <c r="I7" s="116" t="s">
        <v>526</v>
      </c>
      <c r="J7" s="116" t="s">
        <v>263</v>
      </c>
      <c r="L7" s="115" t="s">
        <v>526</v>
      </c>
    </row>
    <row r="8" spans="1:12" ht="12.75" customHeight="1">
      <c r="D8" s="103"/>
      <c r="E8" s="103"/>
      <c r="G8" s="265" t="s">
        <v>145</v>
      </c>
      <c r="H8" s="117"/>
      <c r="I8" s="103"/>
      <c r="J8" s="103"/>
      <c r="L8" s="266" t="s">
        <v>146</v>
      </c>
    </row>
    <row r="10" spans="1:12">
      <c r="A10" s="114" t="s">
        <v>244</v>
      </c>
      <c r="D10" s="114" t="s">
        <v>525</v>
      </c>
      <c r="G10" s="114" t="s">
        <v>524</v>
      </c>
      <c r="H10" s="103"/>
      <c r="I10" s="114" t="s">
        <v>523</v>
      </c>
      <c r="J10" s="103"/>
      <c r="K10" s="103"/>
      <c r="L10" s="114" t="s">
        <v>522</v>
      </c>
    </row>
    <row r="12" spans="1:12">
      <c r="A12" s="109" t="s">
        <v>521</v>
      </c>
      <c r="B12" s="102" t="s">
        <v>436</v>
      </c>
      <c r="D12" s="519">
        <f>'9-LTD'!P16</f>
        <v>575500000</v>
      </c>
      <c r="E12" s="103" t="s">
        <v>520</v>
      </c>
      <c r="G12" s="520">
        <f>+D12/D18</f>
        <v>0.49484184874935333</v>
      </c>
      <c r="I12" s="521">
        <f>'9-LTD'!P88</f>
        <v>4.5126310058026621E-2</v>
      </c>
      <c r="J12" s="103" t="s">
        <v>519</v>
      </c>
      <c r="L12" s="522">
        <f>G12*I12</f>
        <v>2.2330386696350429E-2</v>
      </c>
    </row>
    <row r="13" spans="1:12">
      <c r="A13" s="110"/>
      <c r="E13" s="103"/>
      <c r="G13" s="103"/>
      <c r="I13" s="103"/>
      <c r="L13" s="132"/>
    </row>
    <row r="14" spans="1:12">
      <c r="A14" s="109" t="s">
        <v>518</v>
      </c>
      <c r="B14" s="102" t="s">
        <v>446</v>
      </c>
      <c r="D14" s="252">
        <f>'8-PrefStock'!U13</f>
        <v>0</v>
      </c>
      <c r="E14" s="103" t="s">
        <v>517</v>
      </c>
      <c r="G14" s="523">
        <f>D14/D18</f>
        <v>0</v>
      </c>
      <c r="I14" s="521">
        <f>'8-PrefStock'!U17</f>
        <v>0</v>
      </c>
      <c r="J14" s="103" t="s">
        <v>516</v>
      </c>
      <c r="L14" s="524">
        <f>G14*I14</f>
        <v>0</v>
      </c>
    </row>
    <row r="15" spans="1:12">
      <c r="A15" s="110"/>
      <c r="E15" s="103"/>
      <c r="G15" s="103"/>
      <c r="I15" s="103"/>
      <c r="L15" s="132"/>
    </row>
    <row r="16" spans="1:12">
      <c r="A16" s="112" t="s">
        <v>515</v>
      </c>
      <c r="B16" s="111" t="s">
        <v>429</v>
      </c>
      <c r="C16" s="111"/>
      <c r="D16" s="525">
        <f>'7-ComStock'!Y22</f>
        <v>587497837.5</v>
      </c>
      <c r="E16" s="526" t="s">
        <v>514</v>
      </c>
      <c r="F16" s="111"/>
      <c r="G16" s="527">
        <f>+D16/D18</f>
        <v>0.50515815125064667</v>
      </c>
      <c r="H16" s="111"/>
      <c r="I16" s="560">
        <v>0.10150000000000001</v>
      </c>
      <c r="J16" s="526"/>
      <c r="K16" s="111"/>
      <c r="L16" s="528">
        <f>G16*I16</f>
        <v>5.1273552351940643E-2</v>
      </c>
    </row>
    <row r="17" spans="1:12">
      <c r="A17" s="110"/>
      <c r="G17" s="103"/>
      <c r="I17" s="103"/>
    </row>
    <row r="18" spans="1:12">
      <c r="A18" s="109" t="s">
        <v>512</v>
      </c>
      <c r="B18" s="102" t="s">
        <v>511</v>
      </c>
      <c r="D18" s="529">
        <f>D12+D14+D16</f>
        <v>1162997837.5</v>
      </c>
      <c r="G18" s="530">
        <f>G12+G14+G16</f>
        <v>1</v>
      </c>
      <c r="I18" s="103"/>
    </row>
    <row r="20" spans="1:12">
      <c r="A20" s="109" t="s">
        <v>510</v>
      </c>
      <c r="B20" s="108" t="s">
        <v>509</v>
      </c>
      <c r="L20" s="531">
        <f>L12+L14+L16</f>
        <v>7.3603939048291073E-2</v>
      </c>
    </row>
    <row r="23" spans="1:12" ht="7.95" customHeight="1">
      <c r="A23" s="1061"/>
      <c r="B23" s="1061"/>
      <c r="C23" s="1061"/>
      <c r="D23" s="1061"/>
      <c r="E23" s="1061"/>
      <c r="F23" s="1061"/>
      <c r="G23" s="1061"/>
      <c r="H23" s="1061"/>
      <c r="I23" s="1061"/>
      <c r="J23" s="1061"/>
      <c r="K23" s="1061"/>
      <c r="L23" s="1061"/>
    </row>
    <row r="24" spans="1:12" ht="7.95" customHeight="1">
      <c r="A24" s="1061"/>
      <c r="B24" s="1061"/>
      <c r="C24" s="1061"/>
      <c r="D24" s="1061"/>
      <c r="E24" s="1061"/>
      <c r="F24" s="1061"/>
      <c r="G24" s="1061"/>
      <c r="H24" s="1061"/>
      <c r="I24" s="1061"/>
      <c r="J24" s="1061"/>
      <c r="K24" s="1061"/>
      <c r="L24" s="1061"/>
    </row>
    <row r="25" spans="1:12" ht="7.95" customHeight="1">
      <c r="A25" s="1061"/>
      <c r="B25" s="1061"/>
      <c r="C25" s="1061"/>
      <c r="D25" s="1061"/>
      <c r="E25" s="1061"/>
      <c r="F25" s="1061"/>
      <c r="G25" s="1061"/>
      <c r="H25" s="1061"/>
      <c r="I25" s="1061"/>
      <c r="J25" s="1061"/>
      <c r="K25" s="1061"/>
      <c r="L25" s="1061"/>
    </row>
    <row r="26" spans="1:12" ht="7.95" customHeight="1">
      <c r="A26" s="1061"/>
      <c r="B26" s="1061"/>
      <c r="C26" s="1061"/>
      <c r="D26" s="1061"/>
      <c r="E26" s="1061"/>
      <c r="F26" s="1061"/>
      <c r="G26" s="1061"/>
      <c r="H26" s="1061"/>
      <c r="I26" s="1061"/>
      <c r="J26" s="1061"/>
      <c r="K26" s="1061"/>
      <c r="L26" s="1061"/>
    </row>
    <row r="28" spans="1:12">
      <c r="A28" s="102" t="s">
        <v>780</v>
      </c>
      <c r="G28" s="102" t="s">
        <v>652</v>
      </c>
    </row>
    <row r="30" spans="1:12">
      <c r="A30" s="102" t="s">
        <v>170</v>
      </c>
      <c r="G30" s="102" t="s">
        <v>172</v>
      </c>
    </row>
    <row r="32" spans="1:12">
      <c r="A32" s="102" t="s">
        <v>53</v>
      </c>
    </row>
    <row r="52" spans="6:6">
      <c r="F52" s="103" t="s">
        <v>132</v>
      </c>
    </row>
    <row r="53" spans="6:6">
      <c r="F53" s="103" t="s">
        <v>504</v>
      </c>
    </row>
  </sheetData>
  <mergeCells count="8">
    <mergeCell ref="A23:L26"/>
    <mergeCell ref="L5:L6"/>
    <mergeCell ref="A1:L1"/>
    <mergeCell ref="A2:L2"/>
    <mergeCell ref="D5:E6"/>
    <mergeCell ref="B5:B6"/>
    <mergeCell ref="I5:J6"/>
    <mergeCell ref="G5:G6"/>
  </mergeCells>
  <phoneticPr fontId="41" type="noConversion"/>
  <pageMargins left="0.7" right="0.7" top="0.75" bottom="0.75" header="0.3" footer="0.3"/>
  <pageSetup scale="77" orientation="landscape" r:id="rId1"/>
  <headerFooter>
    <oddHeader>&amp;C&amp;"Arial,Bold"ADDENDUM 27 TO ATTACHMENT H, Page &amp;P of &amp;N
NorthWestern Corporation (South Dakota)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64"/>
  <sheetViews>
    <sheetView topLeftCell="A4" workbookViewId="0">
      <selection activeCell="B14" sqref="B14"/>
    </sheetView>
  </sheetViews>
  <sheetFormatPr defaultRowHeight="13.2"/>
  <cols>
    <col min="1" max="1" width="5.6640625" customWidth="1"/>
    <col min="2" max="2" width="11.5546875" bestFit="1" customWidth="1"/>
    <col min="3" max="3" width="0.88671875" customWidth="1"/>
    <col min="4" max="4" width="16.44140625" customWidth="1"/>
    <col min="5" max="5" width="10.6640625" customWidth="1"/>
    <col min="6" max="6" width="0.88671875" customWidth="1"/>
    <col min="7" max="7" width="12.6640625" customWidth="1"/>
    <col min="8" max="8" width="10.6640625" customWidth="1"/>
    <col min="9" max="9" width="0.88671875" customWidth="1"/>
    <col min="10" max="10" width="17.6640625" customWidth="1"/>
    <col min="11" max="11" width="10.6640625" customWidth="1"/>
    <col min="12" max="12" width="0.88671875" customWidth="1"/>
    <col min="13" max="13" width="12.6640625" customWidth="1"/>
    <col min="14" max="14" width="10.6640625" customWidth="1"/>
    <col min="15" max="15" width="0.88671875" customWidth="1"/>
    <col min="16" max="16" width="14.6640625" customWidth="1"/>
    <col min="17" max="17" width="10.6640625" customWidth="1"/>
    <col min="18" max="18" width="0.88671875" customWidth="1"/>
    <col min="19" max="19" width="14.6640625" customWidth="1"/>
    <col min="20" max="20" width="10.6640625" customWidth="1"/>
    <col min="21" max="21" width="0.88671875" customWidth="1"/>
    <col min="22" max="22" width="13.6640625" customWidth="1"/>
    <col min="23" max="23" width="10.6640625" customWidth="1"/>
    <col min="24" max="24" width="0.88671875" customWidth="1"/>
    <col min="25" max="25" width="17.6640625" customWidth="1"/>
  </cols>
  <sheetData>
    <row r="1" spans="1:25" ht="20.399999999999999">
      <c r="A1" s="1089" t="s">
        <v>230</v>
      </c>
      <c r="B1" s="982"/>
      <c r="C1" s="982"/>
      <c r="D1" s="982"/>
      <c r="E1" s="982"/>
      <c r="F1" s="982"/>
      <c r="G1" s="982"/>
      <c r="H1" s="982"/>
      <c r="I1" s="982"/>
      <c r="J1" s="982"/>
      <c r="K1" s="982"/>
      <c r="L1" s="982"/>
      <c r="M1" s="982"/>
      <c r="N1" s="982"/>
      <c r="O1" s="982"/>
      <c r="P1" s="982"/>
      <c r="Q1" s="982"/>
      <c r="R1" s="982"/>
      <c r="S1" s="982"/>
      <c r="T1" s="982"/>
      <c r="U1" s="982"/>
      <c r="V1" s="982"/>
      <c r="W1" s="982"/>
      <c r="X1" s="982"/>
      <c r="Y1" s="982"/>
    </row>
    <row r="2" spans="1:25" ht="19.2">
      <c r="A2" s="1090" t="str">
        <f>Inputs!B2</f>
        <v>(For Rate Year Beginning April 1, 2026, Based on December 31, 2025 Data)</v>
      </c>
      <c r="B2" s="1090"/>
      <c r="C2" s="1090"/>
      <c r="D2" s="1090"/>
      <c r="E2" s="1090"/>
      <c r="F2" s="1090"/>
      <c r="G2" s="1090"/>
      <c r="H2" s="1090"/>
      <c r="I2" s="1090"/>
      <c r="J2" s="1090"/>
      <c r="K2" s="1090"/>
      <c r="L2" s="1090"/>
      <c r="M2" s="1090"/>
      <c r="N2" s="1090"/>
      <c r="O2" s="1090"/>
      <c r="P2" s="1090"/>
      <c r="Q2" s="1090"/>
      <c r="R2" s="1090"/>
      <c r="S2" s="1090"/>
      <c r="T2" s="982"/>
      <c r="U2" s="982"/>
      <c r="V2" s="982"/>
      <c r="W2" s="982"/>
      <c r="X2" s="948"/>
      <c r="Y2" s="948"/>
    </row>
    <row r="3" spans="1:25" ht="19.2">
      <c r="A3" s="182"/>
      <c r="B3" s="182"/>
      <c r="C3" s="182"/>
      <c r="D3" s="182"/>
      <c r="E3" s="182"/>
      <c r="F3" s="182"/>
      <c r="G3" s="182"/>
      <c r="H3" s="182"/>
      <c r="I3" s="182"/>
      <c r="J3" s="182"/>
      <c r="K3" s="182"/>
      <c r="L3" s="182"/>
      <c r="M3" s="182"/>
      <c r="N3" s="182"/>
      <c r="O3" s="182"/>
      <c r="P3" s="182"/>
      <c r="Q3" s="182"/>
      <c r="R3" s="182"/>
      <c r="S3" s="182"/>
      <c r="T3" s="181"/>
      <c r="U3" s="181"/>
      <c r="V3" s="181"/>
    </row>
    <row r="4" spans="1:25" ht="19.5" customHeight="1">
      <c r="A4" s="182"/>
      <c r="B4" s="182"/>
      <c r="C4" s="182"/>
      <c r="D4" s="1091" t="s">
        <v>186</v>
      </c>
      <c r="E4" s="1092"/>
      <c r="F4" s="182"/>
      <c r="G4" s="1097" t="s">
        <v>446</v>
      </c>
      <c r="H4" s="1098"/>
      <c r="I4" s="1098"/>
      <c r="J4" s="1098"/>
      <c r="K4" s="1098"/>
      <c r="L4" s="1098"/>
      <c r="M4" s="1098"/>
      <c r="N4" s="1098"/>
      <c r="O4" s="1098"/>
      <c r="P4" s="1098"/>
      <c r="Q4" s="1099"/>
      <c r="R4" s="183"/>
      <c r="S4" s="1083" t="s">
        <v>187</v>
      </c>
      <c r="T4" s="1100"/>
      <c r="U4" s="181"/>
      <c r="V4" s="1083" t="s">
        <v>163</v>
      </c>
      <c r="W4" s="1084"/>
      <c r="Y4" s="1105" t="s">
        <v>188</v>
      </c>
    </row>
    <row r="5" spans="1:25" ht="15.75" customHeight="1">
      <c r="D5" s="1093"/>
      <c r="E5" s="1094"/>
      <c r="G5" s="1075" t="s">
        <v>189</v>
      </c>
      <c r="H5" s="1076"/>
      <c r="J5" s="1075" t="s">
        <v>205</v>
      </c>
      <c r="K5" s="1076"/>
      <c r="M5" s="1079" t="s">
        <v>206</v>
      </c>
      <c r="N5" s="1080"/>
      <c r="P5" s="1079" t="s">
        <v>207</v>
      </c>
      <c r="Q5" s="1080"/>
      <c r="S5" s="1101"/>
      <c r="T5" s="1102"/>
      <c r="V5" s="1085"/>
      <c r="W5" s="1086"/>
      <c r="Y5" s="1106"/>
    </row>
    <row r="6" spans="1:25" ht="12.75" customHeight="1">
      <c r="D6" s="1095"/>
      <c r="E6" s="1096"/>
      <c r="G6" s="1077"/>
      <c r="H6" s="1078"/>
      <c r="J6" s="1077"/>
      <c r="K6" s="1078"/>
      <c r="M6" s="1081"/>
      <c r="N6" s="1082"/>
      <c r="P6" s="1081"/>
      <c r="Q6" s="1082"/>
      <c r="S6" s="1103"/>
      <c r="T6" s="1104"/>
      <c r="V6" s="1087"/>
      <c r="W6" s="1088"/>
      <c r="Y6" s="1106"/>
    </row>
    <row r="7" spans="1:25" ht="12.75" customHeight="1">
      <c r="D7" s="184" t="s">
        <v>407</v>
      </c>
      <c r="E7" s="184" t="s">
        <v>263</v>
      </c>
      <c r="G7" s="184" t="s">
        <v>84</v>
      </c>
      <c r="H7" s="184" t="s">
        <v>263</v>
      </c>
      <c r="J7" s="184" t="s">
        <v>208</v>
      </c>
      <c r="K7" s="184" t="s">
        <v>263</v>
      </c>
      <c r="M7" s="184" t="s">
        <v>81</v>
      </c>
      <c r="N7" s="184" t="s">
        <v>263</v>
      </c>
      <c r="P7" s="100" t="s">
        <v>80</v>
      </c>
      <c r="Q7" s="184" t="s">
        <v>263</v>
      </c>
      <c r="S7" s="184" t="s">
        <v>209</v>
      </c>
      <c r="T7" s="184" t="s">
        <v>263</v>
      </c>
      <c r="V7" s="184" t="s">
        <v>164</v>
      </c>
      <c r="W7" s="184" t="s">
        <v>263</v>
      </c>
      <c r="Y7" s="1107"/>
    </row>
    <row r="8" spans="1:25">
      <c r="D8" s="21"/>
      <c r="E8" s="21"/>
      <c r="G8" s="21"/>
      <c r="H8" s="21"/>
      <c r="J8" s="21"/>
      <c r="K8" s="21"/>
      <c r="M8" s="21"/>
      <c r="N8" s="21"/>
      <c r="Q8" s="21"/>
      <c r="S8" s="21"/>
      <c r="T8" s="21"/>
      <c r="V8" s="21"/>
      <c r="W8" s="21"/>
      <c r="Y8" s="185"/>
    </row>
    <row r="9" spans="1:25">
      <c r="D9" s="21" t="s">
        <v>525</v>
      </c>
      <c r="E9" s="21"/>
      <c r="G9" s="21" t="s">
        <v>524</v>
      </c>
      <c r="H9" s="21"/>
      <c r="J9" s="21" t="s">
        <v>523</v>
      </c>
      <c r="K9" s="21"/>
      <c r="M9" s="21" t="s">
        <v>522</v>
      </c>
      <c r="N9" s="21"/>
      <c r="P9" s="21" t="s">
        <v>77</v>
      </c>
      <c r="Q9" s="21"/>
      <c r="S9" s="21" t="s">
        <v>210</v>
      </c>
      <c r="T9" s="21"/>
      <c r="V9" s="21" t="s">
        <v>211</v>
      </c>
      <c r="W9" s="21"/>
      <c r="Y9" s="181" t="s">
        <v>173</v>
      </c>
    </row>
    <row r="10" spans="1:25">
      <c r="W10" s="21"/>
      <c r="Y10" s="186" t="s">
        <v>174</v>
      </c>
    </row>
    <row r="11" spans="1:25">
      <c r="D11" s="21"/>
      <c r="E11" s="21"/>
      <c r="G11" s="21"/>
      <c r="H11" s="21"/>
      <c r="J11" s="21"/>
      <c r="K11" s="21"/>
      <c r="M11" s="21"/>
      <c r="N11" s="21"/>
      <c r="Q11" s="21"/>
      <c r="S11" s="21"/>
      <c r="T11" s="21"/>
      <c r="V11" s="21"/>
      <c r="W11" s="21"/>
      <c r="Y11" s="185"/>
    </row>
    <row r="12" spans="1:25">
      <c r="A12" s="187" t="s">
        <v>244</v>
      </c>
      <c r="B12" s="187" t="s">
        <v>78</v>
      </c>
    </row>
    <row r="13" spans="1:25">
      <c r="A13" s="187"/>
      <c r="B13" s="187"/>
    </row>
    <row r="14" spans="1:25">
      <c r="A14" s="188" t="s">
        <v>521</v>
      </c>
      <c r="B14" s="219">
        <f>'8-PrefStock'!B9</f>
        <v>45657</v>
      </c>
      <c r="D14" s="220">
        <f>Inputs!D17</f>
        <v>592007324</v>
      </c>
      <c r="E14" s="21" t="s">
        <v>520</v>
      </c>
      <c r="G14" s="189">
        <f>'8-PrefStock'!C9</f>
        <v>0</v>
      </c>
      <c r="H14" s="21" t="s">
        <v>514</v>
      </c>
      <c r="J14" s="189">
        <f>'8-PrefStock'!F9+'8-PrefStock'!I9</f>
        <v>0</v>
      </c>
      <c r="K14" s="21" t="s">
        <v>516</v>
      </c>
      <c r="M14" s="189">
        <f>'8-PrefStock'!L9</f>
        <v>0</v>
      </c>
      <c r="N14" t="s">
        <v>76</v>
      </c>
      <c r="P14" s="189">
        <f>'8-PrefStock'!O9</f>
        <v>0</v>
      </c>
      <c r="Q14" s="21" t="s">
        <v>75</v>
      </c>
      <c r="S14" s="534">
        <f>Inputs!D15</f>
        <v>829241</v>
      </c>
      <c r="T14" s="21" t="s">
        <v>212</v>
      </c>
      <c r="V14" s="534">
        <f>Inputs!D13</f>
        <v>0</v>
      </c>
      <c r="W14" s="21" t="s">
        <v>165</v>
      </c>
      <c r="Y14" s="40">
        <f>D14-G14-J14-M14-P14-S14-V14</f>
        <v>591178083</v>
      </c>
    </row>
    <row r="15" spans="1:25">
      <c r="A15" s="41"/>
      <c r="B15" s="21"/>
      <c r="H15" s="21"/>
      <c r="K15" s="21"/>
      <c r="Q15" s="21"/>
      <c r="T15" s="21"/>
      <c r="W15" s="21"/>
    </row>
    <row r="16" spans="1:25">
      <c r="A16" s="41"/>
      <c r="B16" s="21"/>
      <c r="K16" s="21"/>
      <c r="Q16" s="21"/>
      <c r="T16" s="21"/>
      <c r="W16" s="21"/>
    </row>
    <row r="17" spans="1:25">
      <c r="A17" s="188" t="s">
        <v>518</v>
      </c>
      <c r="B17" s="215">
        <f>'4-Non-EscrowedFunds'!K13</f>
        <v>46022</v>
      </c>
      <c r="D17" s="220">
        <f>Inputs!D16</f>
        <v>584819555</v>
      </c>
      <c r="E17" s="21" t="s">
        <v>517</v>
      </c>
      <c r="G17" s="189">
        <f>'8-PrefStock'!C11</f>
        <v>0</v>
      </c>
      <c r="H17" s="21" t="s">
        <v>213</v>
      </c>
      <c r="J17" s="189">
        <f>'8-PrefStock'!F11+'8-PrefStock'!I11</f>
        <v>0</v>
      </c>
      <c r="K17" s="21" t="s">
        <v>513</v>
      </c>
      <c r="M17" s="189">
        <f>'8-PrefStock'!L11</f>
        <v>0</v>
      </c>
      <c r="N17" t="s">
        <v>74</v>
      </c>
      <c r="P17" s="189">
        <f>'8-PrefStock'!O11</f>
        <v>0</v>
      </c>
      <c r="Q17" s="21" t="s">
        <v>73</v>
      </c>
      <c r="S17" s="535">
        <f>Inputs!D14</f>
        <v>1001963</v>
      </c>
      <c r="T17" s="21" t="s">
        <v>214</v>
      </c>
      <c r="V17" s="535">
        <f>Inputs!D12</f>
        <v>0</v>
      </c>
      <c r="W17" s="21" t="s">
        <v>167</v>
      </c>
      <c r="Y17" s="40">
        <f>D17-G17-J17-M17-P17-S17-V17</f>
        <v>583817592</v>
      </c>
    </row>
    <row r="18" spans="1:25">
      <c r="A18" s="41"/>
      <c r="B18" s="21"/>
      <c r="H18" s="21"/>
      <c r="T18" s="21"/>
      <c r="W18" s="21"/>
    </row>
    <row r="19" spans="1:25">
      <c r="A19" s="41"/>
      <c r="B19" s="21"/>
      <c r="W19" s="21"/>
    </row>
    <row r="20" spans="1:25">
      <c r="A20" s="188" t="s">
        <v>515</v>
      </c>
      <c r="B20" s="21"/>
      <c r="D20" s="193">
        <f>AVERAGE(D14:D17)</f>
        <v>588413439.5</v>
      </c>
      <c r="G20" s="254">
        <f>AVERAGE(G14:G17)</f>
        <v>0</v>
      </c>
      <c r="J20" s="100">
        <f>AVERAGE(J14:J17)</f>
        <v>0</v>
      </c>
      <c r="M20" s="100">
        <f>AVERAGE(M14:M17)</f>
        <v>0</v>
      </c>
      <c r="P20" s="100">
        <f>AVERAGE(P14:P17)</f>
        <v>0</v>
      </c>
      <c r="S20" s="536">
        <f>AVERAGE(S14:S17)</f>
        <v>915602</v>
      </c>
      <c r="V20" s="536">
        <f>AVERAGE(V14:V17)</f>
        <v>0</v>
      </c>
      <c r="W20" s="21"/>
      <c r="Y20" s="537"/>
    </row>
    <row r="21" spans="1:25">
      <c r="A21" s="41"/>
      <c r="B21" s="21"/>
      <c r="W21" s="21"/>
    </row>
    <row r="22" spans="1:25">
      <c r="A22" s="188" t="s">
        <v>512</v>
      </c>
      <c r="B22" s="21"/>
      <c r="P22" s="36" t="s">
        <v>215</v>
      </c>
      <c r="W22" s="21"/>
      <c r="Y22" s="536">
        <f>AVERAGE(Y14:Y17)</f>
        <v>587497837.5</v>
      </c>
    </row>
    <row r="23" spans="1:25">
      <c r="A23" s="41"/>
      <c r="B23" s="21"/>
      <c r="S23" t="s">
        <v>161</v>
      </c>
      <c r="W23" s="21"/>
    </row>
    <row r="24" spans="1:25">
      <c r="A24" s="41"/>
      <c r="B24" s="21"/>
      <c r="Y24" s="190"/>
    </row>
    <row r="25" spans="1:25">
      <c r="A25" s="32" t="s">
        <v>216</v>
      </c>
      <c r="B25" s="21"/>
      <c r="Y25" s="190"/>
    </row>
    <row r="26" spans="1:25">
      <c r="A26" s="41"/>
      <c r="B26" s="21"/>
      <c r="Y26" s="190"/>
    </row>
    <row r="27" spans="1:25">
      <c r="A27" s="21"/>
      <c r="B27" s="21" t="s">
        <v>217</v>
      </c>
      <c r="D27" t="s">
        <v>18</v>
      </c>
      <c r="N27" s="21" t="s">
        <v>218</v>
      </c>
      <c r="P27" t="s">
        <v>50</v>
      </c>
      <c r="Y27" s="190"/>
    </row>
    <row r="28" spans="1:25">
      <c r="A28" s="21"/>
      <c r="B28" s="21"/>
      <c r="N28" s="21"/>
      <c r="Y28" s="190"/>
    </row>
    <row r="29" spans="1:25">
      <c r="A29" s="21"/>
      <c r="B29" s="21" t="s">
        <v>219</v>
      </c>
      <c r="D29" t="s">
        <v>19</v>
      </c>
      <c r="N29" s="21" t="s">
        <v>220</v>
      </c>
      <c r="P29" t="s">
        <v>51</v>
      </c>
      <c r="Y29" s="190"/>
    </row>
    <row r="30" spans="1:25">
      <c r="A30" s="21"/>
      <c r="B30" s="21"/>
      <c r="N30" s="21"/>
      <c r="Y30" s="190"/>
    </row>
    <row r="31" spans="1:25">
      <c r="A31" s="21"/>
      <c r="B31" s="21" t="s">
        <v>221</v>
      </c>
      <c r="D31" t="s">
        <v>45</v>
      </c>
      <c r="N31" s="21" t="s">
        <v>222</v>
      </c>
      <c r="P31" t="s">
        <v>52</v>
      </c>
      <c r="Y31" s="181"/>
    </row>
    <row r="32" spans="1:25">
      <c r="A32" s="21"/>
      <c r="B32" s="21"/>
      <c r="N32" s="21"/>
      <c r="Y32" s="181"/>
    </row>
    <row r="33" spans="1:25">
      <c r="A33" s="21"/>
      <c r="B33" s="21" t="s">
        <v>223</v>
      </c>
      <c r="D33" t="s">
        <v>46</v>
      </c>
      <c r="N33" s="21" t="s">
        <v>224</v>
      </c>
      <c r="P33" t="s">
        <v>20</v>
      </c>
      <c r="Y33" s="181"/>
    </row>
    <row r="34" spans="1:25">
      <c r="A34" s="21"/>
      <c r="B34" s="21"/>
      <c r="N34" s="21"/>
    </row>
    <row r="35" spans="1:25">
      <c r="A35" s="21"/>
      <c r="B35" s="21" t="s">
        <v>225</v>
      </c>
      <c r="D35" t="s">
        <v>47</v>
      </c>
      <c r="N35" s="21" t="s">
        <v>226</v>
      </c>
      <c r="P35" t="s">
        <v>21</v>
      </c>
    </row>
    <row r="36" spans="1:25">
      <c r="A36" s="21"/>
      <c r="B36" s="21"/>
      <c r="N36" s="21"/>
    </row>
    <row r="37" spans="1:25">
      <c r="A37" s="21"/>
      <c r="B37" s="21" t="s">
        <v>227</v>
      </c>
      <c r="D37" t="s">
        <v>48</v>
      </c>
      <c r="N37" s="21" t="s">
        <v>168</v>
      </c>
      <c r="P37" s="32" t="s">
        <v>609</v>
      </c>
    </row>
    <row r="38" spans="1:25">
      <c r="A38" s="21"/>
      <c r="B38" s="21"/>
      <c r="N38" s="21"/>
      <c r="P38" s="37"/>
    </row>
    <row r="39" spans="1:25">
      <c r="A39" s="21"/>
      <c r="B39" s="21" t="s">
        <v>228</v>
      </c>
      <c r="D39" t="s">
        <v>49</v>
      </c>
      <c r="N39" s="21" t="s">
        <v>169</v>
      </c>
      <c r="P39" s="32" t="s">
        <v>651</v>
      </c>
    </row>
    <row r="40" spans="1:25">
      <c r="A40" s="21"/>
      <c r="B40" s="21"/>
      <c r="N40" s="21"/>
    </row>
    <row r="41" spans="1:25">
      <c r="A41" s="21"/>
      <c r="B41" s="21"/>
      <c r="N41" s="21"/>
    </row>
    <row r="42" spans="1:25">
      <c r="A42" s="21"/>
      <c r="B42" s="21"/>
    </row>
    <row r="43" spans="1:25">
      <c r="A43" s="21"/>
      <c r="B43" s="21"/>
    </row>
    <row r="44" spans="1:25">
      <c r="A44" s="21"/>
      <c r="B44" s="21"/>
    </row>
    <row r="45" spans="1:25">
      <c r="A45" s="21"/>
      <c r="B45" s="21"/>
    </row>
    <row r="46" spans="1:25">
      <c r="A46" s="21"/>
      <c r="B46" s="21"/>
    </row>
    <row r="47" spans="1:25">
      <c r="A47" s="21"/>
      <c r="B47" s="21"/>
    </row>
    <row r="48" spans="1:25">
      <c r="A48" s="21"/>
      <c r="B48" s="21"/>
    </row>
    <row r="49" spans="1:13">
      <c r="A49" s="21"/>
      <c r="B49" s="21"/>
    </row>
    <row r="50" spans="1:13">
      <c r="A50" s="21"/>
      <c r="B50" s="21"/>
    </row>
    <row r="51" spans="1:13">
      <c r="A51" s="21"/>
      <c r="B51" s="21"/>
    </row>
    <row r="52" spans="1:13">
      <c r="A52" s="21"/>
      <c r="B52" s="21"/>
    </row>
    <row r="53" spans="1:13">
      <c r="A53" s="21"/>
      <c r="B53" s="21"/>
    </row>
    <row r="54" spans="1:13">
      <c r="A54" s="21"/>
      <c r="B54" s="21"/>
    </row>
    <row r="55" spans="1:13">
      <c r="A55" s="21"/>
    </row>
    <row r="56" spans="1:13">
      <c r="A56" s="21"/>
    </row>
    <row r="57" spans="1:13">
      <c r="A57" s="21"/>
    </row>
    <row r="58" spans="1:13">
      <c r="A58" s="21"/>
    </row>
    <row r="59" spans="1:13">
      <c r="A59" s="21"/>
    </row>
    <row r="60" spans="1:13">
      <c r="A60" s="21"/>
    </row>
    <row r="61" spans="1:13">
      <c r="A61" s="21"/>
      <c r="M61" s="21" t="s">
        <v>134</v>
      </c>
    </row>
    <row r="62" spans="1:13">
      <c r="A62" s="21"/>
      <c r="M62" s="21" t="s">
        <v>504</v>
      </c>
    </row>
    <row r="63" spans="1:13">
      <c r="A63" s="21"/>
    </row>
    <row r="64" spans="1:13">
      <c r="A64" s="21"/>
    </row>
  </sheetData>
  <mergeCells count="11">
    <mergeCell ref="J5:K6"/>
    <mergeCell ref="M5:N6"/>
    <mergeCell ref="P5:Q6"/>
    <mergeCell ref="V4:W6"/>
    <mergeCell ref="A1:Y1"/>
    <mergeCell ref="A2:Y2"/>
    <mergeCell ref="D4:E6"/>
    <mergeCell ref="G4:Q4"/>
    <mergeCell ref="S4:T6"/>
    <mergeCell ref="Y4:Y7"/>
    <mergeCell ref="G5:H6"/>
  </mergeCells>
  <phoneticPr fontId="41" type="noConversion"/>
  <pageMargins left="0.7" right="0.7" top="0.75" bottom="0.75" header="0.3" footer="0.3"/>
  <pageSetup scale="40" orientation="landscape" r:id="rId1"/>
  <headerFooter>
    <oddHeader>&amp;C&amp;"Arial,Bold"ADDENDUM 27 TO ATTACHMENT H, Page &amp;P of &amp;N
NorthWestern Corporation (South Dakota)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4"/>
  <sheetViews>
    <sheetView workbookViewId="0">
      <selection activeCell="B10" sqref="B10"/>
    </sheetView>
  </sheetViews>
  <sheetFormatPr defaultColWidth="9.109375" defaultRowHeight="13.2"/>
  <cols>
    <col min="1" max="1" width="5.6640625" style="102" customWidth="1"/>
    <col min="2" max="2" width="10.6640625" style="102" customWidth="1"/>
    <col min="3" max="3" width="10.5546875" style="102" customWidth="1"/>
    <col min="4" max="4" width="13.6640625" style="102" customWidth="1"/>
    <col min="5" max="5" width="0.88671875" style="102" customWidth="1"/>
    <col min="6" max="6" width="11.88671875" style="102" customWidth="1"/>
    <col min="7" max="7" width="13.6640625" style="102" customWidth="1"/>
    <col min="8" max="8" width="0.88671875" style="102" customWidth="1"/>
    <col min="9" max="9" width="11.109375" style="102" customWidth="1"/>
    <col min="10" max="10" width="14.6640625" style="102" customWidth="1"/>
    <col min="11" max="11" width="0.88671875" style="102" customWidth="1"/>
    <col min="12" max="12" width="13.5546875" style="102" customWidth="1"/>
    <col min="13" max="13" width="16.6640625" style="102" customWidth="1"/>
    <col min="14" max="14" width="0.88671875" style="102" customWidth="1"/>
    <col min="15" max="15" width="17.33203125" style="102" customWidth="1"/>
    <col min="16" max="16" width="15.6640625" style="102" customWidth="1"/>
    <col min="17" max="17" width="0.88671875" style="102" customWidth="1"/>
    <col min="18" max="18" width="14" style="102" bestFit="1" customWidth="1"/>
    <col min="19" max="19" width="10.88671875" style="102" customWidth="1"/>
    <col min="20" max="20" width="0.88671875" style="102" customWidth="1"/>
    <col min="21" max="21" width="14.6640625" style="102" customWidth="1"/>
    <col min="22" max="22" width="13.6640625" style="102" customWidth="1"/>
    <col min="23" max="23" width="0.88671875" style="102" customWidth="1"/>
    <col min="24" max="24" width="13.6640625" style="102" customWidth="1"/>
    <col min="25" max="16384" width="9.109375" style="102"/>
  </cols>
  <sheetData>
    <row r="1" spans="1:28" ht="21">
      <c r="A1" s="1064" t="s">
        <v>229</v>
      </c>
      <c r="B1" s="1064"/>
      <c r="C1" s="1064"/>
      <c r="D1" s="1064"/>
      <c r="E1" s="1064"/>
      <c r="F1" s="1064"/>
      <c r="G1" s="1064"/>
      <c r="H1" s="1064"/>
      <c r="I1" s="1064"/>
      <c r="J1" s="1064"/>
      <c r="K1" s="1064"/>
      <c r="L1" s="1064"/>
      <c r="M1" s="1064"/>
      <c r="N1" s="1064"/>
      <c r="O1" s="1064"/>
      <c r="P1" s="1064"/>
      <c r="Q1" s="1064"/>
      <c r="R1" s="1064"/>
      <c r="S1" s="1064"/>
      <c r="T1" s="1064"/>
      <c r="U1" s="1064"/>
      <c r="V1" s="1064"/>
      <c r="AB1" s="125"/>
    </row>
    <row r="2" spans="1:28" ht="19.2">
      <c r="A2" s="1108" t="str">
        <f>Inputs!B2</f>
        <v>(For Rate Year Beginning April 1, 2026, Based on December 31, 2025 Data)</v>
      </c>
      <c r="B2" s="1108"/>
      <c r="C2" s="1108"/>
      <c r="D2" s="1108"/>
      <c r="E2" s="1108"/>
      <c r="F2" s="1108"/>
      <c r="G2" s="1108"/>
      <c r="H2" s="1108"/>
      <c r="I2" s="1108"/>
      <c r="J2" s="1108"/>
      <c r="K2" s="1108"/>
      <c r="L2" s="1108"/>
      <c r="M2" s="1108"/>
      <c r="N2" s="1108"/>
      <c r="O2" s="1108"/>
      <c r="P2" s="1108"/>
      <c r="Q2" s="1108"/>
      <c r="R2" s="1108"/>
      <c r="S2" s="1108"/>
      <c r="T2" s="1108"/>
      <c r="U2" s="1108"/>
      <c r="V2" s="1108"/>
      <c r="AB2" s="103"/>
    </row>
    <row r="3" spans="1:28" ht="12.75" customHeight="1">
      <c r="B3" s="122"/>
    </row>
    <row r="4" spans="1:28" ht="27" customHeight="1">
      <c r="B4" s="122"/>
      <c r="C4" s="1109" t="s">
        <v>90</v>
      </c>
      <c r="D4" s="1110"/>
      <c r="F4" s="1109" t="s">
        <v>89</v>
      </c>
      <c r="G4" s="1110"/>
      <c r="I4" s="1109" t="s">
        <v>88</v>
      </c>
      <c r="J4" s="1110"/>
      <c r="L4" s="1109" t="s">
        <v>87</v>
      </c>
      <c r="M4" s="1110"/>
      <c r="O4" s="1109" t="s">
        <v>86</v>
      </c>
      <c r="P4" s="1110"/>
      <c r="R4" s="1109" t="s">
        <v>734</v>
      </c>
      <c r="S4" s="1110"/>
      <c r="U4" s="1109" t="s">
        <v>85</v>
      </c>
      <c r="V4" s="1110"/>
      <c r="X4" s="124"/>
    </row>
    <row r="5" spans="1:28" ht="12.75" customHeight="1">
      <c r="B5" s="122"/>
      <c r="C5" s="123" t="s">
        <v>84</v>
      </c>
      <c r="D5" s="116" t="s">
        <v>79</v>
      </c>
      <c r="F5" s="116" t="s">
        <v>83</v>
      </c>
      <c r="G5" s="116" t="s">
        <v>79</v>
      </c>
      <c r="I5" s="116" t="s">
        <v>82</v>
      </c>
      <c r="J5" s="116" t="s">
        <v>79</v>
      </c>
      <c r="L5" s="116" t="s">
        <v>81</v>
      </c>
      <c r="M5" s="116" t="s">
        <v>79</v>
      </c>
      <c r="O5" s="116" t="s">
        <v>758</v>
      </c>
      <c r="P5" s="116" t="s">
        <v>79</v>
      </c>
      <c r="R5" s="116" t="s">
        <v>735</v>
      </c>
      <c r="S5" s="116" t="s">
        <v>79</v>
      </c>
      <c r="U5" s="1109" t="s">
        <v>788</v>
      </c>
      <c r="V5" s="1110"/>
      <c r="X5" s="103"/>
    </row>
    <row r="6" spans="1:28" ht="12.75" customHeight="1">
      <c r="B6" s="122"/>
      <c r="C6" s="103" t="s">
        <v>441</v>
      </c>
      <c r="F6" s="103" t="s">
        <v>441</v>
      </c>
      <c r="I6" s="103" t="s">
        <v>441</v>
      </c>
      <c r="J6" s="103"/>
      <c r="L6" s="103"/>
      <c r="M6" s="103"/>
      <c r="O6" s="103"/>
      <c r="P6" s="103"/>
      <c r="R6" s="103"/>
      <c r="S6" s="103"/>
      <c r="U6" s="103"/>
      <c r="V6" s="103"/>
    </row>
    <row r="7" spans="1:28" ht="12.75" customHeight="1">
      <c r="A7" s="114" t="s">
        <v>244</v>
      </c>
      <c r="B7" s="114" t="s">
        <v>78</v>
      </c>
      <c r="C7" s="103" t="s">
        <v>525</v>
      </c>
      <c r="F7" s="103" t="s">
        <v>524</v>
      </c>
      <c r="I7" s="103" t="s">
        <v>523</v>
      </c>
      <c r="L7" s="103" t="s">
        <v>522</v>
      </c>
      <c r="M7" s="103"/>
      <c r="O7" s="103" t="s">
        <v>77</v>
      </c>
      <c r="P7" s="103"/>
      <c r="R7" s="103" t="s">
        <v>210</v>
      </c>
      <c r="S7" s="103"/>
      <c r="U7" s="103" t="s">
        <v>211</v>
      </c>
      <c r="V7" s="103"/>
    </row>
    <row r="8" spans="1:28">
      <c r="A8" s="103"/>
    </row>
    <row r="9" spans="1:28">
      <c r="A9" s="109" t="s">
        <v>521</v>
      </c>
      <c r="B9" s="390">
        <v>45657</v>
      </c>
      <c r="C9" s="252">
        <f>Inputs!D11</f>
        <v>0</v>
      </c>
      <c r="D9" s="103" t="s">
        <v>520</v>
      </c>
      <c r="F9" s="391">
        <v>0</v>
      </c>
      <c r="G9" s="103" t="s">
        <v>514</v>
      </c>
      <c r="I9" s="391">
        <v>0</v>
      </c>
      <c r="J9" s="103" t="s">
        <v>516</v>
      </c>
      <c r="L9" s="391">
        <v>0</v>
      </c>
      <c r="M9" s="103" t="s">
        <v>76</v>
      </c>
      <c r="O9" s="391">
        <v>0</v>
      </c>
      <c r="P9" s="103" t="s">
        <v>75</v>
      </c>
      <c r="R9" s="391">
        <v>0</v>
      </c>
      <c r="S9" s="103" t="s">
        <v>212</v>
      </c>
      <c r="U9" s="451">
        <f>C9+F9-I9+L9+O9-R9</f>
        <v>0</v>
      </c>
    </row>
    <row r="10" spans="1:28">
      <c r="A10" s="103"/>
    </row>
    <row r="11" spans="1:28">
      <c r="A11" s="109" t="s">
        <v>518</v>
      </c>
      <c r="B11" s="216">
        <f>'7-ComStock'!B17</f>
        <v>46022</v>
      </c>
      <c r="C11" s="209">
        <f>Inputs!D10</f>
        <v>0</v>
      </c>
      <c r="D11" s="103" t="s">
        <v>517</v>
      </c>
      <c r="F11" s="391">
        <v>0</v>
      </c>
      <c r="G11" s="103" t="s">
        <v>519</v>
      </c>
      <c r="I11" s="391">
        <v>0</v>
      </c>
      <c r="J11" s="103" t="s">
        <v>513</v>
      </c>
      <c r="L11" s="391">
        <v>0</v>
      </c>
      <c r="M11" s="103" t="s">
        <v>74</v>
      </c>
      <c r="O11" s="391">
        <v>0</v>
      </c>
      <c r="P11" s="103" t="s">
        <v>73</v>
      </c>
      <c r="R11" s="391">
        <v>0</v>
      </c>
      <c r="S11" s="103" t="s">
        <v>214</v>
      </c>
      <c r="U11" s="451">
        <f>C11+F11-I11+L11+O11-R11</f>
        <v>0</v>
      </c>
    </row>
    <row r="12" spans="1:28">
      <c r="K12" s="103"/>
    </row>
    <row r="13" spans="1:28">
      <c r="A13" s="109" t="s">
        <v>515</v>
      </c>
      <c r="J13" s="108" t="s">
        <v>54</v>
      </c>
      <c r="K13" s="103"/>
      <c r="U13" s="253">
        <f>(U9+U11)/2</f>
        <v>0</v>
      </c>
    </row>
    <row r="14" spans="1:28">
      <c r="A14" s="103"/>
      <c r="K14" s="103"/>
    </row>
    <row r="15" spans="1:28">
      <c r="A15" s="109" t="s">
        <v>512</v>
      </c>
      <c r="J15" s="108" t="s">
        <v>781</v>
      </c>
      <c r="K15" s="103"/>
      <c r="U15" s="392">
        <v>0</v>
      </c>
    </row>
    <row r="16" spans="1:28">
      <c r="A16" s="103"/>
      <c r="K16" s="103"/>
    </row>
    <row r="17" spans="1:21">
      <c r="A17" s="109" t="s">
        <v>510</v>
      </c>
      <c r="J17" s="108" t="s">
        <v>160</v>
      </c>
      <c r="K17" s="103"/>
      <c r="U17" s="121">
        <f>IF(U13&gt;0,U15/U13,0)</f>
        <v>0</v>
      </c>
    </row>
    <row r="18" spans="1:21">
      <c r="A18" s="103"/>
      <c r="K18" s="103"/>
      <c r="M18" s="108"/>
      <c r="U18" s="120"/>
    </row>
    <row r="19" spans="1:21">
      <c r="A19" s="103"/>
      <c r="K19" s="103"/>
      <c r="M19" s="108"/>
      <c r="U19" s="120"/>
    </row>
    <row r="20" spans="1:21">
      <c r="A20" s="103"/>
      <c r="K20" s="103"/>
      <c r="M20" s="108"/>
      <c r="U20" s="120"/>
    </row>
    <row r="21" spans="1:21">
      <c r="A21" s="103"/>
      <c r="K21" s="103"/>
      <c r="M21" s="108"/>
      <c r="U21" s="120"/>
    </row>
    <row r="22" spans="1:21">
      <c r="A22" s="103"/>
      <c r="K22" s="103"/>
      <c r="M22" s="108"/>
      <c r="U22" s="120"/>
    </row>
    <row r="23" spans="1:21">
      <c r="A23" s="103"/>
      <c r="K23" s="103"/>
      <c r="M23" s="108"/>
      <c r="U23" s="120"/>
    </row>
    <row r="24" spans="1:21">
      <c r="A24" s="103"/>
      <c r="K24" s="103"/>
    </row>
    <row r="25" spans="1:21">
      <c r="A25" s="103"/>
      <c r="K25" s="103"/>
    </row>
    <row r="26" spans="1:21">
      <c r="A26" s="103"/>
      <c r="K26" s="103"/>
    </row>
    <row r="27" spans="1:21">
      <c r="A27" s="103"/>
      <c r="K27" s="103"/>
    </row>
    <row r="28" spans="1:21">
      <c r="A28" s="103"/>
      <c r="B28" s="102" t="s">
        <v>72</v>
      </c>
      <c r="C28" s="102" t="s">
        <v>723</v>
      </c>
      <c r="K28" s="103"/>
    </row>
    <row r="29" spans="1:21">
      <c r="A29" s="103"/>
      <c r="K29" s="103"/>
    </row>
    <row r="30" spans="1:21">
      <c r="A30" s="103"/>
      <c r="B30" s="102" t="s">
        <v>71</v>
      </c>
      <c r="C30" s="102" t="s">
        <v>724</v>
      </c>
      <c r="K30" s="103"/>
    </row>
    <row r="31" spans="1:21">
      <c r="A31" s="103"/>
      <c r="K31" s="103"/>
    </row>
    <row r="32" spans="1:21">
      <c r="A32" s="103"/>
      <c r="B32" s="102" t="s">
        <v>70</v>
      </c>
      <c r="C32" s="102" t="s">
        <v>22</v>
      </c>
      <c r="K32" s="103"/>
    </row>
    <row r="33" spans="1:11">
      <c r="A33" s="103"/>
      <c r="K33" s="103"/>
    </row>
    <row r="34" spans="1:11">
      <c r="A34" s="103"/>
      <c r="B34" s="102" t="s">
        <v>69</v>
      </c>
      <c r="C34" s="102" t="s">
        <v>23</v>
      </c>
      <c r="K34" s="103"/>
    </row>
    <row r="35" spans="1:11">
      <c r="A35" s="103"/>
      <c r="K35" s="103"/>
    </row>
    <row r="36" spans="1:11">
      <c r="A36" s="103"/>
      <c r="B36" s="102" t="s">
        <v>68</v>
      </c>
      <c r="C36" s="102" t="s">
        <v>24</v>
      </c>
      <c r="K36" s="103"/>
    </row>
    <row r="37" spans="1:11">
      <c r="A37" s="103"/>
      <c r="K37" s="103"/>
    </row>
    <row r="38" spans="1:11">
      <c r="B38" s="102" t="s">
        <v>67</v>
      </c>
      <c r="C38" s="102" t="s">
        <v>25</v>
      </c>
      <c r="K38" s="103"/>
    </row>
    <row r="39" spans="1:11">
      <c r="K39" s="103"/>
    </row>
    <row r="40" spans="1:11">
      <c r="B40" s="102" t="s">
        <v>66</v>
      </c>
      <c r="C40" s="102" t="s">
        <v>26</v>
      </c>
      <c r="K40" s="103"/>
    </row>
    <row r="41" spans="1:11">
      <c r="K41" s="103"/>
    </row>
    <row r="42" spans="1:11">
      <c r="B42" s="102" t="s">
        <v>65</v>
      </c>
      <c r="C42" s="102" t="s">
        <v>26</v>
      </c>
      <c r="K42" s="103"/>
    </row>
    <row r="43" spans="1:11">
      <c r="K43" s="103"/>
    </row>
    <row r="44" spans="1:11">
      <c r="B44" s="102" t="s">
        <v>63</v>
      </c>
      <c r="C44" s="102" t="s">
        <v>27</v>
      </c>
      <c r="K44" s="103"/>
    </row>
    <row r="45" spans="1:11">
      <c r="K45" s="103"/>
    </row>
    <row r="46" spans="1:11">
      <c r="B46" s="102" t="s">
        <v>532</v>
      </c>
      <c r="C46" s="102" t="s">
        <v>28</v>
      </c>
      <c r="K46" s="103"/>
    </row>
    <row r="47" spans="1:11">
      <c r="K47" s="103"/>
    </row>
    <row r="48" spans="1:11">
      <c r="B48" s="102" t="s">
        <v>531</v>
      </c>
      <c r="C48" s="102" t="s">
        <v>791</v>
      </c>
    </row>
    <row r="50" spans="2:11">
      <c r="B50" s="102" t="s">
        <v>736</v>
      </c>
      <c r="C50" s="102" t="s">
        <v>792</v>
      </c>
      <c r="K50" s="103"/>
    </row>
    <row r="51" spans="2:11">
      <c r="K51" s="103"/>
    </row>
    <row r="52" spans="2:11">
      <c r="B52" s="102" t="s">
        <v>782</v>
      </c>
      <c r="C52" s="102" t="s">
        <v>783</v>
      </c>
    </row>
    <row r="53" spans="2:11">
      <c r="K53" s="103" t="s">
        <v>133</v>
      </c>
    </row>
    <row r="54" spans="2:11">
      <c r="K54" s="103" t="s">
        <v>504</v>
      </c>
    </row>
  </sheetData>
  <mergeCells count="10">
    <mergeCell ref="A1:V1"/>
    <mergeCell ref="A2:V2"/>
    <mergeCell ref="U5:V5"/>
    <mergeCell ref="C4:D4"/>
    <mergeCell ref="F4:G4"/>
    <mergeCell ref="I4:J4"/>
    <mergeCell ref="L4:M4"/>
    <mergeCell ref="O4:P4"/>
    <mergeCell ref="U4:V4"/>
    <mergeCell ref="R4:S4"/>
  </mergeCells>
  <phoneticPr fontId="41" type="noConversion"/>
  <pageMargins left="0.7" right="0.7" top="0.75" bottom="0.75" header="0.3" footer="0.3"/>
  <pageSetup scale="40" orientation="landscape" r:id="rId1"/>
  <headerFooter>
    <oddHeader>&amp;C&amp;"Arial,Bold"ADDENDUM 27 TO ATTACHMENT H, Page &amp;P of &amp;N
NorthWestern Corporation (South Dakota)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N415"/>
  <sheetViews>
    <sheetView topLeftCell="A39" zoomScale="70" zoomScaleNormal="70" workbookViewId="0">
      <selection activeCell="D59" sqref="D59"/>
    </sheetView>
  </sheetViews>
  <sheetFormatPr defaultColWidth="8.88671875" defaultRowHeight="13.2"/>
  <cols>
    <col min="1" max="1" width="8.6640625" style="23" customWidth="1"/>
    <col min="2" max="2" width="6.6640625" style="23" customWidth="1"/>
    <col min="3" max="3" width="65.5546875" style="23" customWidth="1"/>
    <col min="4" max="4" width="24" style="23" bestFit="1" customWidth="1"/>
    <col min="5" max="5" width="65.44140625" style="32" customWidth="1"/>
    <col min="6" max="6" width="43.5546875" style="32" bestFit="1" customWidth="1"/>
    <col min="7" max="7" width="8.6640625" style="23" customWidth="1"/>
    <col min="8" max="8" width="17.33203125" style="23" bestFit="1" customWidth="1"/>
    <col min="9" max="9" width="15.6640625" style="23" bestFit="1" customWidth="1"/>
    <col min="10" max="10" width="11.6640625" style="23" bestFit="1" customWidth="1"/>
    <col min="11" max="16384" width="8.88671875" style="23"/>
  </cols>
  <sheetData>
    <row r="1" spans="1:8" ht="21.9" customHeight="1">
      <c r="A1" s="194"/>
      <c r="B1" s="913" t="s">
        <v>423</v>
      </c>
      <c r="C1" s="913"/>
      <c r="D1" s="913"/>
      <c r="E1" s="913"/>
      <c r="F1" s="913"/>
    </row>
    <row r="2" spans="1:8" ht="21.9" customHeight="1">
      <c r="A2" s="194"/>
      <c r="B2" s="925" t="s">
        <v>1701</v>
      </c>
      <c r="C2" s="925"/>
      <c r="D2" s="925"/>
      <c r="E2" s="925"/>
      <c r="F2" s="925"/>
    </row>
    <row r="3" spans="1:8" ht="7.95" customHeight="1">
      <c r="A3" s="194"/>
      <c r="E3" s="23"/>
      <c r="F3" s="23"/>
    </row>
    <row r="4" spans="1:8" ht="16.5" customHeight="1">
      <c r="B4" s="293" t="s">
        <v>10</v>
      </c>
      <c r="C4" s="61"/>
      <c r="D4" s="61"/>
      <c r="E4" s="61"/>
      <c r="F4" s="61"/>
      <c r="G4" s="61"/>
    </row>
    <row r="5" spans="1:8" ht="12.75" customHeight="1" thickBot="1">
      <c r="B5" s="343"/>
      <c r="C5" s="61"/>
      <c r="D5" s="61"/>
      <c r="E5" s="61"/>
      <c r="F5" s="61"/>
      <c r="G5" s="61"/>
    </row>
    <row r="6" spans="1:8" ht="18.600000000000001" customHeight="1" thickTop="1">
      <c r="B6" s="270" t="s">
        <v>264</v>
      </c>
      <c r="C6" s="926" t="s">
        <v>258</v>
      </c>
      <c r="D6" s="271" t="s">
        <v>418</v>
      </c>
      <c r="E6" s="272" t="s">
        <v>11</v>
      </c>
      <c r="F6" s="273" t="s">
        <v>265</v>
      </c>
      <c r="G6" s="41"/>
    </row>
    <row r="7" spans="1:8" ht="16.2" thickBot="1">
      <c r="B7" s="274" t="s">
        <v>266</v>
      </c>
      <c r="C7" s="927"/>
      <c r="D7" s="397" t="s">
        <v>1702</v>
      </c>
      <c r="E7" s="275" t="s">
        <v>351</v>
      </c>
      <c r="F7" s="276" t="s">
        <v>267</v>
      </c>
      <c r="G7" s="41"/>
    </row>
    <row r="8" spans="1:8" ht="17.850000000000001" customHeight="1" thickTop="1">
      <c r="B8" s="621">
        <v>1</v>
      </c>
      <c r="C8" s="622" t="s">
        <v>908</v>
      </c>
      <c r="D8" s="679">
        <v>9436198</v>
      </c>
      <c r="E8" s="342" t="s">
        <v>1775</v>
      </c>
      <c r="F8" s="620" t="s">
        <v>562</v>
      </c>
      <c r="G8" s="333"/>
      <c r="H8" s="335"/>
    </row>
    <row r="9" spans="1:8" ht="17.850000000000001" customHeight="1">
      <c r="B9" s="284" t="s">
        <v>626</v>
      </c>
      <c r="C9" s="418" t="s">
        <v>895</v>
      </c>
      <c r="D9" s="679">
        <v>11629819</v>
      </c>
      <c r="E9" s="342" t="s">
        <v>1776</v>
      </c>
      <c r="F9" s="285" t="s">
        <v>562</v>
      </c>
      <c r="G9" s="333"/>
      <c r="H9" s="335"/>
    </row>
    <row r="10" spans="1:8" ht="17.850000000000001" customHeight="1">
      <c r="B10" s="267">
        <f>B8+1</f>
        <v>2</v>
      </c>
      <c r="C10" s="289" t="s">
        <v>278</v>
      </c>
      <c r="D10" s="396">
        <v>0</v>
      </c>
      <c r="E10" s="342" t="s">
        <v>268</v>
      </c>
      <c r="F10" s="268" t="s">
        <v>563</v>
      </c>
      <c r="G10" s="333"/>
      <c r="H10" s="335"/>
    </row>
    <row r="11" spans="1:8" ht="17.850000000000001" customHeight="1">
      <c r="B11" s="267">
        <f t="shared" ref="B11:B76" si="0">B10+1</f>
        <v>3</v>
      </c>
      <c r="C11" s="289" t="s">
        <v>277</v>
      </c>
      <c r="D11" s="396">
        <v>0</v>
      </c>
      <c r="E11" s="342" t="s">
        <v>59</v>
      </c>
      <c r="F11" s="268" t="s">
        <v>564</v>
      </c>
      <c r="G11" s="333"/>
      <c r="H11" s="335"/>
    </row>
    <row r="12" spans="1:8" ht="17.850000000000001" customHeight="1">
      <c r="B12" s="267">
        <f t="shared" si="0"/>
        <v>4</v>
      </c>
      <c r="C12" s="289" t="s">
        <v>364</v>
      </c>
      <c r="D12" s="396">
        <v>0</v>
      </c>
      <c r="E12" s="342" t="s">
        <v>269</v>
      </c>
      <c r="F12" s="268" t="s">
        <v>600</v>
      </c>
      <c r="G12" s="333"/>
      <c r="H12" s="335"/>
    </row>
    <row r="13" spans="1:8" ht="17.850000000000001" customHeight="1">
      <c r="B13" s="267">
        <f t="shared" si="0"/>
        <v>5</v>
      </c>
      <c r="C13" s="289" t="s">
        <v>365</v>
      </c>
      <c r="D13" s="396">
        <v>0</v>
      </c>
      <c r="E13" s="342" t="s">
        <v>166</v>
      </c>
      <c r="F13" s="268" t="s">
        <v>601</v>
      </c>
      <c r="G13" s="333"/>
      <c r="H13" s="335"/>
    </row>
    <row r="14" spans="1:8" ht="17.850000000000001" customHeight="1">
      <c r="B14" s="267">
        <f t="shared" si="0"/>
        <v>6</v>
      </c>
      <c r="C14" s="289" t="s">
        <v>279</v>
      </c>
      <c r="D14" s="396">
        <v>1001963</v>
      </c>
      <c r="E14" s="342" t="s">
        <v>270</v>
      </c>
      <c r="F14" s="268" t="s">
        <v>565</v>
      </c>
      <c r="G14" s="333"/>
      <c r="H14" s="335"/>
    </row>
    <row r="15" spans="1:8" ht="17.850000000000001" customHeight="1">
      <c r="B15" s="267">
        <f t="shared" si="0"/>
        <v>7</v>
      </c>
      <c r="C15" s="289" t="s">
        <v>280</v>
      </c>
      <c r="D15" s="396">
        <v>829241</v>
      </c>
      <c r="E15" s="342" t="s">
        <v>1777</v>
      </c>
      <c r="F15" s="268" t="s">
        <v>566</v>
      </c>
      <c r="G15" s="333"/>
      <c r="H15" s="335"/>
    </row>
    <row r="16" spans="1:8" ht="17.850000000000001" customHeight="1">
      <c r="B16" s="267">
        <f t="shared" si="0"/>
        <v>8</v>
      </c>
      <c r="C16" s="289" t="s">
        <v>656</v>
      </c>
      <c r="D16" s="396">
        <v>584819555</v>
      </c>
      <c r="E16" s="342" t="s">
        <v>271</v>
      </c>
      <c r="F16" s="268" t="s">
        <v>567</v>
      </c>
      <c r="G16" s="333"/>
      <c r="H16" s="335"/>
    </row>
    <row r="17" spans="2:9" ht="17.850000000000001" customHeight="1">
      <c r="B17" s="267">
        <f t="shared" si="0"/>
        <v>9</v>
      </c>
      <c r="C17" s="289" t="s">
        <v>657</v>
      </c>
      <c r="D17" s="396">
        <v>592007324</v>
      </c>
      <c r="E17" s="342" t="s">
        <v>1778</v>
      </c>
      <c r="F17" s="268" t="s">
        <v>568</v>
      </c>
      <c r="G17" s="333"/>
      <c r="H17" s="335"/>
      <c r="I17" s="394"/>
    </row>
    <row r="18" spans="2:9" ht="17.850000000000001" customHeight="1">
      <c r="B18" s="267">
        <f t="shared" si="0"/>
        <v>10</v>
      </c>
      <c r="C18" s="289" t="s">
        <v>658</v>
      </c>
      <c r="D18" s="396">
        <v>556000000</v>
      </c>
      <c r="E18" s="342" t="s">
        <v>272</v>
      </c>
      <c r="F18" s="268" t="s">
        <v>602</v>
      </c>
      <c r="G18" s="333"/>
      <c r="H18" s="335"/>
      <c r="I18" s="394"/>
    </row>
    <row r="19" spans="2:9" ht="17.850000000000001" customHeight="1">
      <c r="B19" s="267">
        <f t="shared" si="0"/>
        <v>11</v>
      </c>
      <c r="C19" s="289" t="s">
        <v>659</v>
      </c>
      <c r="D19" s="396">
        <v>520000000</v>
      </c>
      <c r="E19" s="342" t="s">
        <v>1703</v>
      </c>
      <c r="F19" s="268" t="s">
        <v>603</v>
      </c>
      <c r="G19" s="333"/>
      <c r="H19" s="335"/>
    </row>
    <row r="20" spans="2:9" ht="17.850000000000001" customHeight="1">
      <c r="B20" s="267">
        <f t="shared" si="0"/>
        <v>12</v>
      </c>
      <c r="C20" s="289" t="s">
        <v>281</v>
      </c>
      <c r="D20" s="396">
        <v>0</v>
      </c>
      <c r="E20" s="342" t="s">
        <v>273</v>
      </c>
      <c r="F20" s="268" t="s">
        <v>369</v>
      </c>
      <c r="G20" s="333"/>
      <c r="H20" s="335"/>
    </row>
    <row r="21" spans="2:9" ht="17.850000000000001" customHeight="1">
      <c r="B21" s="267">
        <f t="shared" si="0"/>
        <v>13</v>
      </c>
      <c r="C21" s="289" t="s">
        <v>282</v>
      </c>
      <c r="D21" s="396">
        <v>0</v>
      </c>
      <c r="E21" s="342" t="s">
        <v>60</v>
      </c>
      <c r="F21" s="268" t="s">
        <v>370</v>
      </c>
      <c r="G21" s="333"/>
      <c r="H21" s="335"/>
    </row>
    <row r="22" spans="2:9" ht="17.850000000000001" customHeight="1">
      <c r="B22" s="267">
        <f t="shared" si="0"/>
        <v>14</v>
      </c>
      <c r="C22" s="289" t="s">
        <v>283</v>
      </c>
      <c r="D22" s="396">
        <v>0</v>
      </c>
      <c r="E22" s="342" t="s">
        <v>274</v>
      </c>
      <c r="F22" s="268" t="s">
        <v>371</v>
      </c>
      <c r="G22" s="333"/>
      <c r="H22" s="335"/>
    </row>
    <row r="23" spans="2:9" ht="17.850000000000001" customHeight="1">
      <c r="B23" s="267">
        <f t="shared" si="0"/>
        <v>15</v>
      </c>
      <c r="C23" s="289" t="s">
        <v>284</v>
      </c>
      <c r="D23" s="396">
        <v>0</v>
      </c>
      <c r="E23" s="342" t="s">
        <v>419</v>
      </c>
      <c r="F23" s="268" t="s">
        <v>377</v>
      </c>
      <c r="G23" s="333"/>
      <c r="H23" s="335"/>
    </row>
    <row r="24" spans="2:9" ht="17.850000000000001" customHeight="1">
      <c r="B24" s="267">
        <f t="shared" si="0"/>
        <v>16</v>
      </c>
      <c r="C24" s="289" t="s">
        <v>285</v>
      </c>
      <c r="D24" s="396">
        <v>41000000</v>
      </c>
      <c r="E24" s="342" t="s">
        <v>275</v>
      </c>
      <c r="F24" s="268" t="s">
        <v>372</v>
      </c>
      <c r="G24" s="333"/>
      <c r="H24" s="335"/>
    </row>
    <row r="25" spans="2:9" ht="17.850000000000001" customHeight="1">
      <c r="B25" s="267">
        <f t="shared" si="0"/>
        <v>17</v>
      </c>
      <c r="C25" s="289" t="s">
        <v>286</v>
      </c>
      <c r="D25" s="396">
        <v>34000000</v>
      </c>
      <c r="E25" s="342" t="s">
        <v>1704</v>
      </c>
      <c r="F25" s="268" t="s">
        <v>373</v>
      </c>
      <c r="G25" s="333"/>
      <c r="H25" s="335"/>
    </row>
    <row r="26" spans="2:9" ht="17.850000000000001" customHeight="1">
      <c r="B26" s="267">
        <f t="shared" si="0"/>
        <v>18</v>
      </c>
      <c r="C26" s="289" t="s">
        <v>732</v>
      </c>
      <c r="D26" s="396">
        <v>0</v>
      </c>
      <c r="E26" s="342" t="s">
        <v>357</v>
      </c>
      <c r="F26" s="268" t="s">
        <v>374</v>
      </c>
      <c r="G26" s="333"/>
      <c r="H26" s="335"/>
    </row>
    <row r="27" spans="2:9" ht="17.850000000000001" customHeight="1">
      <c r="B27" s="267">
        <f t="shared" si="0"/>
        <v>19</v>
      </c>
      <c r="C27" s="289" t="s">
        <v>733</v>
      </c>
      <c r="D27" s="396">
        <v>0</v>
      </c>
      <c r="E27" s="342" t="s">
        <v>358</v>
      </c>
      <c r="F27" s="268" t="s">
        <v>375</v>
      </c>
      <c r="G27" s="333"/>
      <c r="H27" s="335"/>
    </row>
    <row r="28" spans="2:9" ht="17.850000000000001" customHeight="1">
      <c r="B28" s="267">
        <f t="shared" si="0"/>
        <v>20</v>
      </c>
      <c r="C28" s="289" t="s">
        <v>730</v>
      </c>
      <c r="D28" s="396">
        <v>0</v>
      </c>
      <c r="E28" s="342" t="s">
        <v>359</v>
      </c>
      <c r="F28" s="268" t="s">
        <v>376</v>
      </c>
      <c r="G28" s="333"/>
      <c r="H28" s="335"/>
    </row>
    <row r="29" spans="2:9" ht="17.850000000000001" customHeight="1">
      <c r="B29" s="267">
        <f t="shared" si="0"/>
        <v>21</v>
      </c>
      <c r="C29" s="289" t="s">
        <v>731</v>
      </c>
      <c r="D29" s="419">
        <v>0</v>
      </c>
      <c r="E29" s="342" t="s">
        <v>1779</v>
      </c>
      <c r="F29" s="268" t="s">
        <v>378</v>
      </c>
      <c r="G29" s="333"/>
      <c r="H29" s="335"/>
    </row>
    <row r="30" spans="2:9" ht="17.850000000000001" customHeight="1">
      <c r="B30" s="267">
        <f t="shared" si="0"/>
        <v>22</v>
      </c>
      <c r="C30" s="289" t="s">
        <v>1424</v>
      </c>
      <c r="D30" s="419">
        <v>732569</v>
      </c>
      <c r="E30" s="342" t="s">
        <v>1780</v>
      </c>
      <c r="F30" s="268" t="s">
        <v>710</v>
      </c>
      <c r="G30" s="333"/>
      <c r="H30" s="335"/>
    </row>
    <row r="31" spans="2:9" ht="17.850000000000001" customHeight="1">
      <c r="B31" s="267">
        <f t="shared" si="0"/>
        <v>23</v>
      </c>
      <c r="C31" s="289" t="s">
        <v>287</v>
      </c>
      <c r="D31" s="419">
        <v>6328130</v>
      </c>
      <c r="E31" s="342" t="s">
        <v>1709</v>
      </c>
      <c r="F31" s="268" t="s">
        <v>666</v>
      </c>
      <c r="G31" s="333"/>
      <c r="H31" s="906"/>
    </row>
    <row r="32" spans="2:9" ht="17.850000000000001" customHeight="1">
      <c r="B32" s="267">
        <f t="shared" si="0"/>
        <v>24</v>
      </c>
      <c r="C32" s="289" t="s">
        <v>288</v>
      </c>
      <c r="D32" s="419">
        <v>24948300</v>
      </c>
      <c r="E32" s="342" t="s">
        <v>1372</v>
      </c>
      <c r="F32" s="268" t="s">
        <v>604</v>
      </c>
      <c r="G32" s="333"/>
      <c r="H32" s="335"/>
    </row>
    <row r="33" spans="1:8" ht="17.850000000000001" customHeight="1">
      <c r="B33" s="267">
        <f t="shared" si="0"/>
        <v>25</v>
      </c>
      <c r="C33" s="289" t="s">
        <v>289</v>
      </c>
      <c r="D33" s="419">
        <v>347505</v>
      </c>
      <c r="E33" s="342" t="s">
        <v>1373</v>
      </c>
      <c r="F33" s="268" t="s">
        <v>379</v>
      </c>
      <c r="G33" s="333"/>
      <c r="H33" s="335"/>
    </row>
    <row r="34" spans="1:8" ht="17.850000000000001" customHeight="1">
      <c r="B34" s="267">
        <f t="shared" si="0"/>
        <v>26</v>
      </c>
      <c r="C34" s="289" t="s">
        <v>290</v>
      </c>
      <c r="D34" s="419">
        <v>577291</v>
      </c>
      <c r="E34" s="342" t="s">
        <v>1374</v>
      </c>
      <c r="F34" s="268" t="s">
        <v>380</v>
      </c>
      <c r="G34" s="333"/>
      <c r="H34" s="335"/>
    </row>
    <row r="35" spans="1:8" ht="17.850000000000001" customHeight="1">
      <c r="B35" s="267">
        <f t="shared" si="0"/>
        <v>27</v>
      </c>
      <c r="C35" s="289" t="s">
        <v>291</v>
      </c>
      <c r="D35" s="419">
        <v>0</v>
      </c>
      <c r="E35" s="342" t="s">
        <v>1375</v>
      </c>
      <c r="F35" s="268" t="s">
        <v>664</v>
      </c>
      <c r="G35" s="333"/>
      <c r="H35" s="335"/>
    </row>
    <row r="36" spans="1:8" ht="17.850000000000001" customHeight="1">
      <c r="B36" s="267">
        <f t="shared" si="0"/>
        <v>28</v>
      </c>
      <c r="C36" s="289" t="s">
        <v>292</v>
      </c>
      <c r="D36" s="419">
        <v>0</v>
      </c>
      <c r="E36" s="342" t="s">
        <v>1376</v>
      </c>
      <c r="F36" s="268" t="s">
        <v>665</v>
      </c>
      <c r="G36" s="333"/>
      <c r="H36" s="335"/>
    </row>
    <row r="37" spans="1:8" ht="17.850000000000001" customHeight="1">
      <c r="B37" s="267">
        <f t="shared" si="0"/>
        <v>29</v>
      </c>
      <c r="C37" s="289" t="s">
        <v>293</v>
      </c>
      <c r="D37" s="419">
        <v>0</v>
      </c>
      <c r="E37" s="342" t="s">
        <v>276</v>
      </c>
      <c r="F37" s="268" t="s">
        <v>882</v>
      </c>
      <c r="G37" s="333"/>
      <c r="H37" s="335"/>
    </row>
    <row r="38" spans="1:8" ht="17.850000000000001" customHeight="1">
      <c r="B38" s="267">
        <f t="shared" si="0"/>
        <v>30</v>
      </c>
      <c r="C38" s="289" t="s">
        <v>712</v>
      </c>
      <c r="D38" s="419">
        <f>+(889941+493761)/2</f>
        <v>691851</v>
      </c>
      <c r="E38" s="342" t="s">
        <v>1548</v>
      </c>
      <c r="F38" s="268" t="s">
        <v>661</v>
      </c>
      <c r="G38" s="333"/>
      <c r="H38" s="906"/>
    </row>
    <row r="39" spans="1:8" ht="17.850000000000001" customHeight="1">
      <c r="B39" s="267">
        <f t="shared" si="0"/>
        <v>31</v>
      </c>
      <c r="C39" s="289" t="s">
        <v>811</v>
      </c>
      <c r="D39" s="733">
        <f>2609021/2</f>
        <v>1304510.5</v>
      </c>
      <c r="E39" s="342" t="s">
        <v>1705</v>
      </c>
      <c r="F39" s="268" t="s">
        <v>662</v>
      </c>
      <c r="G39" s="333"/>
      <c r="H39" s="335"/>
    </row>
    <row r="40" spans="1:8" ht="17.850000000000001" customHeight="1">
      <c r="B40" s="267">
        <f t="shared" si="0"/>
        <v>32</v>
      </c>
      <c r="C40" s="289" t="s">
        <v>812</v>
      </c>
      <c r="D40" s="733">
        <f>+(1145833143+1175572241)/2</f>
        <v>1160702692</v>
      </c>
      <c r="E40" s="342" t="s">
        <v>1706</v>
      </c>
      <c r="F40" s="268" t="s">
        <v>330</v>
      </c>
      <c r="G40" s="333"/>
      <c r="H40" s="335"/>
    </row>
    <row r="41" spans="1:8" ht="17.850000000000001" customHeight="1">
      <c r="B41" s="267">
        <f t="shared" si="0"/>
        <v>33</v>
      </c>
      <c r="C41" s="289" t="s">
        <v>813</v>
      </c>
      <c r="D41" s="733">
        <f>+(233559154+243988952)/2</f>
        <v>238774053</v>
      </c>
      <c r="E41" s="342" t="s">
        <v>1707</v>
      </c>
      <c r="F41" s="285" t="s">
        <v>630</v>
      </c>
      <c r="G41" s="333"/>
      <c r="H41" s="335"/>
    </row>
    <row r="42" spans="1:8" ht="17.850000000000001" customHeight="1">
      <c r="B42" s="267">
        <f t="shared" si="0"/>
        <v>34</v>
      </c>
      <c r="C42" s="619" t="s">
        <v>907</v>
      </c>
      <c r="D42" s="733">
        <v>5349699</v>
      </c>
      <c r="E42" s="759" t="s">
        <v>1377</v>
      </c>
      <c r="F42" s="268" t="s">
        <v>332</v>
      </c>
      <c r="G42" s="333"/>
      <c r="H42" s="335"/>
    </row>
    <row r="43" spans="1:8" ht="17.850000000000001" customHeight="1">
      <c r="B43" s="267" t="s">
        <v>896</v>
      </c>
      <c r="C43" s="619" t="s">
        <v>897</v>
      </c>
      <c r="D43" s="733">
        <v>4869591</v>
      </c>
      <c r="E43" s="759" t="s">
        <v>1378</v>
      </c>
      <c r="F43" s="268" t="s">
        <v>898</v>
      </c>
      <c r="G43" s="333"/>
      <c r="H43" s="335"/>
    </row>
    <row r="44" spans="1:8" ht="17.850000000000001" customHeight="1">
      <c r="B44" s="267">
        <f>B42+1</f>
        <v>35</v>
      </c>
      <c r="C44" s="289" t="s">
        <v>260</v>
      </c>
      <c r="D44" s="733">
        <v>0</v>
      </c>
      <c r="E44" s="342" t="s">
        <v>1379</v>
      </c>
      <c r="F44" s="268" t="s">
        <v>333</v>
      </c>
      <c r="G44" s="333"/>
      <c r="H44" s="335"/>
    </row>
    <row r="45" spans="1:8" ht="17.850000000000001" customHeight="1">
      <c r="A45" s="600"/>
      <c r="B45" s="267">
        <f t="shared" si="0"/>
        <v>36</v>
      </c>
      <c r="C45" s="680" t="s">
        <v>701</v>
      </c>
      <c r="D45" s="419"/>
      <c r="E45" s="760" t="s">
        <v>701</v>
      </c>
      <c r="F45" s="761" t="s">
        <v>701</v>
      </c>
      <c r="G45" s="333"/>
      <c r="H45" s="335"/>
    </row>
    <row r="46" spans="1:8" ht="17.850000000000001" customHeight="1">
      <c r="A46" s="600"/>
      <c r="B46" s="267">
        <f t="shared" si="0"/>
        <v>37</v>
      </c>
      <c r="C46" s="680" t="s">
        <v>701</v>
      </c>
      <c r="D46" s="419"/>
      <c r="E46" s="760" t="s">
        <v>701</v>
      </c>
      <c r="F46" s="761" t="s">
        <v>701</v>
      </c>
      <c r="G46" s="333"/>
      <c r="H46" s="335"/>
    </row>
    <row r="47" spans="1:8" ht="17.850000000000001" customHeight="1">
      <c r="A47" s="600"/>
      <c r="B47" s="267">
        <f t="shared" si="0"/>
        <v>38</v>
      </c>
      <c r="C47" s="680" t="s">
        <v>701</v>
      </c>
      <c r="D47" s="419"/>
      <c r="E47" s="760" t="s">
        <v>701</v>
      </c>
      <c r="F47" s="761" t="s">
        <v>701</v>
      </c>
      <c r="G47" s="333"/>
      <c r="H47" s="335"/>
    </row>
    <row r="48" spans="1:8" ht="17.850000000000001" customHeight="1">
      <c r="A48" s="600"/>
      <c r="B48" s="267">
        <f t="shared" si="0"/>
        <v>39</v>
      </c>
      <c r="C48" s="680" t="s">
        <v>701</v>
      </c>
      <c r="D48" s="419"/>
      <c r="E48" s="760" t="s">
        <v>701</v>
      </c>
      <c r="F48" s="761" t="s">
        <v>701</v>
      </c>
      <c r="G48" s="333"/>
      <c r="H48" s="335"/>
    </row>
    <row r="49" spans="2:8" ht="17.850000000000001" customHeight="1">
      <c r="B49" s="267">
        <f t="shared" si="0"/>
        <v>40</v>
      </c>
      <c r="C49" s="289" t="s">
        <v>881</v>
      </c>
      <c r="D49" s="419">
        <v>0</v>
      </c>
      <c r="E49" s="342" t="s">
        <v>203</v>
      </c>
      <c r="F49" s="268" t="s">
        <v>204</v>
      </c>
      <c r="G49" s="333"/>
      <c r="H49" s="335"/>
    </row>
    <row r="50" spans="2:8" ht="17.850000000000001" customHeight="1">
      <c r="B50" s="267">
        <f t="shared" si="0"/>
        <v>41</v>
      </c>
      <c r="C50" s="289" t="s">
        <v>814</v>
      </c>
      <c r="D50" s="733">
        <f>+(24589547+26397785)/2</f>
        <v>25493666</v>
      </c>
      <c r="E50" s="342" t="s">
        <v>1708</v>
      </c>
      <c r="F50" s="268" t="s">
        <v>334</v>
      </c>
      <c r="G50" s="333"/>
      <c r="H50" s="335"/>
    </row>
    <row r="51" spans="2:8" ht="17.850000000000001" customHeight="1">
      <c r="B51" s="267">
        <f t="shared" si="0"/>
        <v>42</v>
      </c>
      <c r="C51" s="289" t="s">
        <v>815</v>
      </c>
      <c r="D51" s="733">
        <f>+(96241892+91052316)/2</f>
        <v>93647104</v>
      </c>
      <c r="E51" s="342" t="s">
        <v>1549</v>
      </c>
      <c r="F51" s="285" t="s">
        <v>598</v>
      </c>
      <c r="G51" s="333"/>
      <c r="H51" s="906"/>
    </row>
    <row r="52" spans="2:8" ht="17.850000000000001" customHeight="1">
      <c r="B52" s="267">
        <f t="shared" si="0"/>
        <v>43</v>
      </c>
      <c r="C52" s="289" t="s">
        <v>816</v>
      </c>
      <c r="D52" s="733">
        <f>+(10353076+10079181)/2</f>
        <v>10216128.5</v>
      </c>
      <c r="E52" s="342" t="s">
        <v>1615</v>
      </c>
      <c r="F52" s="268" t="s">
        <v>467</v>
      </c>
      <c r="G52" s="333"/>
      <c r="H52" s="906"/>
    </row>
    <row r="53" spans="2:8" ht="17.850000000000001" customHeight="1">
      <c r="B53" s="267">
        <f t="shared" si="0"/>
        <v>44</v>
      </c>
      <c r="C53" s="289" t="s">
        <v>817</v>
      </c>
      <c r="D53" s="733">
        <f>+(439328653+413115909)/2</f>
        <v>426222281</v>
      </c>
      <c r="E53" s="342" t="s">
        <v>1781</v>
      </c>
      <c r="F53" s="268" t="s">
        <v>612</v>
      </c>
      <c r="G53" s="333"/>
      <c r="H53" s="906"/>
    </row>
    <row r="54" spans="2:8" ht="17.850000000000001" customHeight="1">
      <c r="B54" s="267">
        <f t="shared" si="0"/>
        <v>45</v>
      </c>
      <c r="C54" s="289" t="s">
        <v>496</v>
      </c>
      <c r="D54" s="733">
        <v>0</v>
      </c>
      <c r="E54" s="342" t="s">
        <v>44</v>
      </c>
      <c r="F54" s="268" t="s">
        <v>335</v>
      </c>
      <c r="G54" s="333"/>
      <c r="H54" s="335"/>
    </row>
    <row r="55" spans="2:8" ht="17.850000000000001" customHeight="1">
      <c r="B55" s="267">
        <f t="shared" si="0"/>
        <v>46</v>
      </c>
      <c r="C55" s="289" t="s">
        <v>294</v>
      </c>
      <c r="D55" s="733">
        <v>21402534</v>
      </c>
      <c r="E55" s="342" t="s">
        <v>1550</v>
      </c>
      <c r="F55" s="268" t="s">
        <v>561</v>
      </c>
      <c r="G55" s="333"/>
      <c r="H55" s="335"/>
    </row>
    <row r="56" spans="2:8" ht="17.850000000000001" customHeight="1">
      <c r="B56" s="267">
        <f t="shared" si="0"/>
        <v>47</v>
      </c>
      <c r="C56" s="289" t="s">
        <v>571</v>
      </c>
      <c r="D56" s="733">
        <v>22992471</v>
      </c>
      <c r="E56" s="342" t="s">
        <v>1551</v>
      </c>
      <c r="F56" s="268" t="s">
        <v>336</v>
      </c>
      <c r="G56" s="333"/>
      <c r="H56" s="335"/>
    </row>
    <row r="57" spans="2:8" ht="17.850000000000001" customHeight="1">
      <c r="B57" s="267">
        <f t="shared" si="0"/>
        <v>48</v>
      </c>
      <c r="C57" s="289" t="s">
        <v>295</v>
      </c>
      <c r="D57" s="733">
        <v>0</v>
      </c>
      <c r="E57" s="342" t="s">
        <v>1552</v>
      </c>
      <c r="F57" s="268" t="s">
        <v>337</v>
      </c>
      <c r="G57" s="333"/>
      <c r="H57" s="335"/>
    </row>
    <row r="58" spans="2:8" ht="17.850000000000001" customHeight="1">
      <c r="B58" s="267">
        <f t="shared" si="0"/>
        <v>49</v>
      </c>
      <c r="C58" s="289" t="s">
        <v>296</v>
      </c>
      <c r="D58" s="733">
        <v>101251</v>
      </c>
      <c r="E58" s="342" t="s">
        <v>1553</v>
      </c>
      <c r="F58" s="268" t="s">
        <v>417</v>
      </c>
      <c r="G58" s="333"/>
      <c r="H58" s="335"/>
    </row>
    <row r="59" spans="2:8" ht="17.850000000000001" customHeight="1">
      <c r="B59" s="267">
        <f t="shared" si="0"/>
        <v>50</v>
      </c>
      <c r="C59" s="289" t="s">
        <v>297</v>
      </c>
      <c r="D59" s="733">
        <f>13784071-134316</f>
        <v>13649755</v>
      </c>
      <c r="E59" s="342" t="s">
        <v>1554</v>
      </c>
      <c r="F59" s="268" t="s">
        <v>338</v>
      </c>
      <c r="G59" s="333"/>
      <c r="H59" s="906"/>
    </row>
    <row r="60" spans="2:8" ht="17.850000000000001" customHeight="1">
      <c r="B60" s="267">
        <f t="shared" si="0"/>
        <v>51</v>
      </c>
      <c r="C60" s="289" t="s">
        <v>298</v>
      </c>
      <c r="D60" s="733">
        <v>0</v>
      </c>
      <c r="E60" s="342" t="s">
        <v>1555</v>
      </c>
      <c r="F60" s="268" t="s">
        <v>57</v>
      </c>
      <c r="G60" s="333"/>
      <c r="H60" s="335"/>
    </row>
    <row r="61" spans="2:8" ht="17.850000000000001" customHeight="1">
      <c r="B61" s="267">
        <f t="shared" si="0"/>
        <v>52</v>
      </c>
      <c r="C61" s="289" t="s">
        <v>314</v>
      </c>
      <c r="D61" s="733">
        <v>0</v>
      </c>
      <c r="E61" s="342" t="s">
        <v>1556</v>
      </c>
      <c r="F61" s="268" t="s">
        <v>58</v>
      </c>
      <c r="G61" s="333"/>
      <c r="H61" s="335"/>
    </row>
    <row r="62" spans="2:8" ht="17.850000000000001" customHeight="1">
      <c r="B62" s="267">
        <f t="shared" si="0"/>
        <v>53</v>
      </c>
      <c r="C62" s="289" t="s">
        <v>315</v>
      </c>
      <c r="D62" s="733">
        <v>274185</v>
      </c>
      <c r="E62" s="342" t="s">
        <v>1557</v>
      </c>
      <c r="F62" s="268" t="s">
        <v>663</v>
      </c>
      <c r="G62" s="333"/>
      <c r="H62" s="335"/>
    </row>
    <row r="63" spans="2:8" ht="17.850000000000001" customHeight="1">
      <c r="B63" s="267">
        <f t="shared" si="0"/>
        <v>54</v>
      </c>
      <c r="C63" s="290" t="s">
        <v>316</v>
      </c>
      <c r="D63" s="733">
        <v>0</v>
      </c>
      <c r="E63" s="342" t="s">
        <v>1558</v>
      </c>
      <c r="F63" s="269" t="s">
        <v>58</v>
      </c>
      <c r="G63" s="333"/>
      <c r="H63" s="335"/>
    </row>
    <row r="64" spans="2:8" ht="17.850000000000001" customHeight="1">
      <c r="B64" s="267">
        <f t="shared" si="0"/>
        <v>55</v>
      </c>
      <c r="C64" s="191" t="s">
        <v>572</v>
      </c>
      <c r="D64" s="733">
        <v>6341566</v>
      </c>
      <c r="E64" s="342" t="s">
        <v>1559</v>
      </c>
      <c r="F64" s="268" t="s">
        <v>598</v>
      </c>
      <c r="G64" s="333"/>
      <c r="H64" s="335"/>
    </row>
    <row r="65" spans="2:8" ht="17.850000000000001" customHeight="1">
      <c r="B65" s="267">
        <f t="shared" si="0"/>
        <v>56</v>
      </c>
      <c r="C65" s="6" t="s">
        <v>317</v>
      </c>
      <c r="D65" s="733">
        <v>0</v>
      </c>
      <c r="E65" s="342" t="s">
        <v>1560</v>
      </c>
      <c r="F65" s="345" t="s">
        <v>648</v>
      </c>
      <c r="G65" s="333"/>
      <c r="H65" s="335"/>
    </row>
    <row r="66" spans="2:8" ht="17.850000000000001" customHeight="1">
      <c r="B66" s="267">
        <f t="shared" si="0"/>
        <v>57</v>
      </c>
      <c r="C66" s="191" t="s">
        <v>318</v>
      </c>
      <c r="D66" s="733">
        <v>0</v>
      </c>
      <c r="E66" s="342" t="s">
        <v>1561</v>
      </c>
      <c r="F66" s="268" t="s">
        <v>648</v>
      </c>
      <c r="G66" s="333"/>
      <c r="H66" s="335"/>
    </row>
    <row r="67" spans="2:8" ht="17.850000000000001" customHeight="1">
      <c r="B67" s="267">
        <f t="shared" si="0"/>
        <v>58</v>
      </c>
      <c r="C67" s="6" t="s">
        <v>573</v>
      </c>
      <c r="D67" s="733">
        <v>1134768</v>
      </c>
      <c r="E67" s="342" t="s">
        <v>1616</v>
      </c>
      <c r="F67" s="345" t="s">
        <v>340</v>
      </c>
      <c r="G67" s="333"/>
      <c r="H67" s="335"/>
    </row>
    <row r="68" spans="2:8" ht="17.850000000000001" customHeight="1">
      <c r="B68" s="267">
        <f t="shared" si="0"/>
        <v>59</v>
      </c>
      <c r="C68" s="191" t="s">
        <v>319</v>
      </c>
      <c r="D68" s="733">
        <v>0</v>
      </c>
      <c r="E68" s="342" t="s">
        <v>1617</v>
      </c>
      <c r="F68" s="268" t="s">
        <v>340</v>
      </c>
      <c r="G68" s="333"/>
      <c r="H68" s="335"/>
    </row>
    <row r="69" spans="2:8" ht="17.850000000000001" customHeight="1">
      <c r="B69" s="267">
        <f t="shared" si="0"/>
        <v>60</v>
      </c>
      <c r="C69" s="191" t="s">
        <v>320</v>
      </c>
      <c r="D69" s="733">
        <v>0</v>
      </c>
      <c r="E69" s="342" t="s">
        <v>1618</v>
      </c>
      <c r="F69" s="268" t="s">
        <v>340</v>
      </c>
      <c r="G69" s="333"/>
      <c r="H69" s="335"/>
    </row>
    <row r="70" spans="2:8" ht="17.850000000000001" customHeight="1">
      <c r="B70" s="267">
        <f t="shared" si="0"/>
        <v>61</v>
      </c>
      <c r="C70" s="418" t="s">
        <v>321</v>
      </c>
      <c r="D70" s="733">
        <v>910142</v>
      </c>
      <c r="E70" s="342" t="s">
        <v>1562</v>
      </c>
      <c r="F70" s="285" t="s">
        <v>341</v>
      </c>
      <c r="G70" s="333"/>
      <c r="H70" s="335"/>
    </row>
    <row r="71" spans="2:8" ht="17.850000000000001" customHeight="1">
      <c r="B71" s="267">
        <f t="shared" si="0"/>
        <v>62</v>
      </c>
      <c r="C71" s="289" t="s">
        <v>322</v>
      </c>
      <c r="D71" s="733">
        <f>4235040</f>
        <v>4235040</v>
      </c>
      <c r="E71" s="342" t="s">
        <v>1563</v>
      </c>
      <c r="F71" s="268" t="s">
        <v>342</v>
      </c>
      <c r="G71" s="333"/>
      <c r="H71" s="335"/>
    </row>
    <row r="72" spans="2:8" ht="17.850000000000001" customHeight="1">
      <c r="B72" s="267">
        <f t="shared" si="0"/>
        <v>63</v>
      </c>
      <c r="C72" s="346" t="s">
        <v>323</v>
      </c>
      <c r="D72" s="733">
        <f>11595839</f>
        <v>11595839</v>
      </c>
      <c r="E72" s="342" t="s">
        <v>1564</v>
      </c>
      <c r="F72" s="268" t="s">
        <v>343</v>
      </c>
      <c r="G72" s="333"/>
      <c r="H72" s="335"/>
    </row>
    <row r="73" spans="2:8" ht="17.850000000000001" customHeight="1">
      <c r="B73" s="267">
        <f t="shared" si="0"/>
        <v>64</v>
      </c>
      <c r="C73" s="191" t="s">
        <v>1425</v>
      </c>
      <c r="D73" s="733">
        <v>0</v>
      </c>
      <c r="E73" s="342" t="s">
        <v>1710</v>
      </c>
      <c r="F73" s="268" t="s">
        <v>352</v>
      </c>
      <c r="G73" s="333"/>
      <c r="H73" s="335"/>
    </row>
    <row r="74" spans="2:8" ht="17.850000000000001" customHeight="1">
      <c r="B74" s="267">
        <f t="shared" si="0"/>
        <v>65</v>
      </c>
      <c r="C74" s="6" t="s">
        <v>818</v>
      </c>
      <c r="D74" s="733">
        <f>+(65640703+69010711)/2</f>
        <v>67325707</v>
      </c>
      <c r="E74" s="342" t="s">
        <v>1711</v>
      </c>
      <c r="F74" s="268" t="s">
        <v>352</v>
      </c>
      <c r="G74" s="333"/>
      <c r="H74" s="335"/>
    </row>
    <row r="75" spans="2:8" ht="17.850000000000001" customHeight="1">
      <c r="B75" s="267">
        <f t="shared" si="0"/>
        <v>66</v>
      </c>
      <c r="C75" s="9" t="s">
        <v>819</v>
      </c>
      <c r="D75" s="733">
        <f>+(64143049+67249156)/2</f>
        <v>65696102.5</v>
      </c>
      <c r="E75" s="342" t="s">
        <v>1712</v>
      </c>
      <c r="F75" s="268" t="s">
        <v>353</v>
      </c>
      <c r="G75" s="333"/>
      <c r="H75" s="335"/>
    </row>
    <row r="76" spans="2:8" ht="17.850000000000001" customHeight="1">
      <c r="B76" s="267">
        <f t="shared" si="0"/>
        <v>67</v>
      </c>
      <c r="C76" s="347" t="s">
        <v>243</v>
      </c>
      <c r="D76" s="419">
        <v>182637</v>
      </c>
      <c r="E76" s="342" t="s">
        <v>1565</v>
      </c>
      <c r="F76" s="269" t="s">
        <v>385</v>
      </c>
      <c r="H76" s="335"/>
    </row>
    <row r="77" spans="2:8" ht="17.850000000000001" customHeight="1">
      <c r="B77" s="267">
        <f t="shared" ref="B77:B87" si="1">B76+1</f>
        <v>68</v>
      </c>
      <c r="C77" s="290" t="s">
        <v>574</v>
      </c>
      <c r="D77" s="419">
        <v>4981556</v>
      </c>
      <c r="E77" s="342" t="s">
        <v>1709</v>
      </c>
      <c r="F77" s="337" t="s">
        <v>381</v>
      </c>
      <c r="H77" s="335"/>
    </row>
    <row r="78" spans="2:8" ht="17.850000000000001" customHeight="1">
      <c r="B78" s="267">
        <f t="shared" si="1"/>
        <v>69</v>
      </c>
      <c r="C78" s="289" t="s">
        <v>575</v>
      </c>
      <c r="D78" s="419">
        <v>13870</v>
      </c>
      <c r="E78" s="342" t="s">
        <v>1709</v>
      </c>
      <c r="F78" s="337" t="s">
        <v>381</v>
      </c>
      <c r="H78" s="335"/>
    </row>
    <row r="79" spans="2:8" ht="17.850000000000001" customHeight="1">
      <c r="B79" s="267">
        <f t="shared" si="1"/>
        <v>70</v>
      </c>
      <c r="C79" s="291" t="s">
        <v>576</v>
      </c>
      <c r="D79" s="419">
        <v>199684</v>
      </c>
      <c r="E79" s="342" t="s">
        <v>1709</v>
      </c>
      <c r="F79" s="337" t="s">
        <v>381</v>
      </c>
      <c r="H79" s="335"/>
    </row>
    <row r="80" spans="2:8" ht="17.850000000000001" customHeight="1">
      <c r="B80" s="267">
        <f t="shared" si="1"/>
        <v>71</v>
      </c>
      <c r="C80" s="289" t="s">
        <v>577</v>
      </c>
      <c r="D80" s="419">
        <v>29703</v>
      </c>
      <c r="E80" s="342" t="s">
        <v>1709</v>
      </c>
      <c r="F80" s="337" t="s">
        <v>646</v>
      </c>
      <c r="H80" s="335"/>
    </row>
    <row r="81" spans="2:8" ht="17.850000000000001" customHeight="1">
      <c r="B81" s="267">
        <f t="shared" si="1"/>
        <v>72</v>
      </c>
      <c r="C81" s="291" t="s">
        <v>578</v>
      </c>
      <c r="D81" s="419">
        <v>318378</v>
      </c>
      <c r="E81" s="342" t="s">
        <v>1709</v>
      </c>
      <c r="F81" s="337" t="s">
        <v>647</v>
      </c>
      <c r="H81" s="335"/>
    </row>
    <row r="82" spans="2:8" ht="17.850000000000001" customHeight="1">
      <c r="B82" s="267">
        <f t="shared" si="1"/>
        <v>73</v>
      </c>
      <c r="C82" s="289" t="s">
        <v>713</v>
      </c>
      <c r="D82" s="419">
        <v>21600</v>
      </c>
      <c r="E82" s="342" t="s">
        <v>1709</v>
      </c>
      <c r="F82" s="337" t="s">
        <v>645</v>
      </c>
      <c r="H82" s="335"/>
    </row>
    <row r="83" spans="2:8" ht="17.850000000000001" customHeight="1">
      <c r="B83" s="267">
        <f t="shared" si="1"/>
        <v>74</v>
      </c>
      <c r="C83" s="291" t="s">
        <v>579</v>
      </c>
      <c r="D83" s="419">
        <v>0</v>
      </c>
      <c r="E83" s="342" t="s">
        <v>1709</v>
      </c>
      <c r="F83" s="337" t="s">
        <v>611</v>
      </c>
      <c r="H83" s="335"/>
    </row>
    <row r="84" spans="2:8" ht="17.850000000000001" customHeight="1">
      <c r="B84" s="267">
        <f t="shared" si="1"/>
        <v>75</v>
      </c>
      <c r="C84" s="289" t="s">
        <v>580</v>
      </c>
      <c r="D84" s="419">
        <v>599888</v>
      </c>
      <c r="E84" s="342" t="s">
        <v>1709</v>
      </c>
      <c r="F84" s="337" t="s">
        <v>382</v>
      </c>
      <c r="H84" s="335"/>
    </row>
    <row r="85" spans="2:8" ht="17.850000000000001" customHeight="1">
      <c r="B85" s="267">
        <f t="shared" si="1"/>
        <v>76</v>
      </c>
      <c r="C85" s="289" t="s">
        <v>581</v>
      </c>
      <c r="D85" s="419">
        <v>159428</v>
      </c>
      <c r="E85" s="342" t="s">
        <v>1709</v>
      </c>
      <c r="F85" s="337" t="s">
        <v>382</v>
      </c>
      <c r="H85" s="335"/>
    </row>
    <row r="86" spans="2:8" ht="17.850000000000001" customHeight="1">
      <c r="B86" s="267">
        <f t="shared" si="1"/>
        <v>77</v>
      </c>
      <c r="C86" s="289" t="s">
        <v>582</v>
      </c>
      <c r="D86" s="419">
        <v>2308</v>
      </c>
      <c r="E86" s="342" t="s">
        <v>1709</v>
      </c>
      <c r="F86" s="337" t="s">
        <v>383</v>
      </c>
      <c r="H86" s="335"/>
    </row>
    <row r="87" spans="2:8" ht="17.850000000000001" customHeight="1" thickBot="1">
      <c r="B87" s="267">
        <f t="shared" si="1"/>
        <v>78</v>
      </c>
      <c r="C87" s="420" t="s">
        <v>583</v>
      </c>
      <c r="D87" s="419">
        <v>1715</v>
      </c>
      <c r="E87" s="342" t="s">
        <v>1709</v>
      </c>
      <c r="F87" s="421" t="s">
        <v>384</v>
      </c>
      <c r="H87" s="335"/>
    </row>
    <row r="88" spans="2:8" ht="16.95" customHeight="1">
      <c r="B88" s="10"/>
      <c r="C88" s="6"/>
      <c r="D88" s="51" t="s">
        <v>505</v>
      </c>
      <c r="E88" s="8"/>
      <c r="F88" s="8"/>
      <c r="H88" s="335"/>
    </row>
    <row r="89" spans="2:8" ht="15">
      <c r="B89" s="10"/>
      <c r="C89" s="6"/>
      <c r="D89" s="613" t="s">
        <v>1426</v>
      </c>
      <c r="E89" s="8"/>
      <c r="F89" s="8"/>
      <c r="H89" s="335"/>
    </row>
    <row r="90" spans="2:8" ht="18" customHeight="1">
      <c r="B90" s="10"/>
      <c r="C90" s="6"/>
      <c r="D90" s="51"/>
      <c r="E90" s="8"/>
      <c r="F90" s="8"/>
      <c r="H90" s="335"/>
    </row>
    <row r="91" spans="2:8" ht="18" customHeight="1">
      <c r="B91" s="10"/>
      <c r="C91" s="6"/>
      <c r="D91" s="51"/>
      <c r="E91" s="8"/>
      <c r="F91" s="8"/>
      <c r="H91" s="335"/>
    </row>
    <row r="92" spans="2:8" ht="18" customHeight="1">
      <c r="B92" s="10"/>
      <c r="C92" s="6"/>
      <c r="D92" s="51"/>
      <c r="E92" s="8"/>
      <c r="F92" s="8"/>
      <c r="H92" s="335"/>
    </row>
    <row r="93" spans="2:8" ht="21.9" customHeight="1">
      <c r="B93" s="913" t="s">
        <v>423</v>
      </c>
      <c r="C93" s="913"/>
      <c r="D93" s="913"/>
      <c r="E93" s="913"/>
      <c r="F93" s="913"/>
      <c r="G93" s="333"/>
      <c r="H93" s="335"/>
    </row>
    <row r="94" spans="2:8" ht="21.9" customHeight="1">
      <c r="B94" s="913" t="str">
        <f>B2</f>
        <v>(For Rate Year Beginning April 1, 2026, Based on December 31, 2025 Data)</v>
      </c>
      <c r="C94" s="913"/>
      <c r="D94" s="913"/>
      <c r="E94" s="913"/>
      <c r="F94" s="913"/>
      <c r="G94" s="333"/>
      <c r="H94" s="335"/>
    </row>
    <row r="95" spans="2:8" ht="15.9" customHeight="1">
      <c r="E95" s="23"/>
      <c r="F95" s="23"/>
      <c r="G95" s="333"/>
      <c r="H95" s="335"/>
    </row>
    <row r="96" spans="2:8" ht="17.100000000000001" customHeight="1">
      <c r="B96" s="332" t="s">
        <v>421</v>
      </c>
      <c r="D96" s="333"/>
      <c r="H96" s="335"/>
    </row>
    <row r="97" spans="1:8" ht="13.8" thickBot="1">
      <c r="B97" s="348"/>
      <c r="D97" s="333"/>
      <c r="H97" s="335"/>
    </row>
    <row r="98" spans="1:8" ht="13.8" thickTop="1">
      <c r="B98" s="196" t="s">
        <v>264</v>
      </c>
      <c r="C98" s="915" t="s">
        <v>258</v>
      </c>
      <c r="D98" s="218" t="s">
        <v>418</v>
      </c>
      <c r="E98" s="917" t="s">
        <v>308</v>
      </c>
      <c r="F98" s="197" t="s">
        <v>265</v>
      </c>
      <c r="G98" s="41"/>
      <c r="H98" s="335"/>
    </row>
    <row r="99" spans="1:8" ht="13.8" thickBot="1">
      <c r="B99" s="198" t="s">
        <v>266</v>
      </c>
      <c r="C99" s="916"/>
      <c r="D99" s="217" t="str">
        <f>+D7</f>
        <v>2025 FERC Form 1</v>
      </c>
      <c r="E99" s="918"/>
      <c r="F99" s="199" t="s">
        <v>267</v>
      </c>
      <c r="G99" s="41"/>
      <c r="H99" s="335"/>
    </row>
    <row r="100" spans="1:8" ht="18" customHeight="1">
      <c r="A100" s="600"/>
      <c r="B100" s="286">
        <v>1</v>
      </c>
      <c r="C100" s="762" t="s">
        <v>701</v>
      </c>
      <c r="D100" s="680"/>
      <c r="E100" s="763" t="s">
        <v>701</v>
      </c>
      <c r="F100" s="764" t="s">
        <v>701</v>
      </c>
      <c r="G100" s="41"/>
      <c r="H100" s="335"/>
    </row>
    <row r="101" spans="1:8" ht="18" customHeight="1">
      <c r="A101" s="600"/>
      <c r="B101" s="284">
        <f t="shared" ref="B101:B113" si="2">B100+1</f>
        <v>2</v>
      </c>
      <c r="C101" s="762" t="s">
        <v>701</v>
      </c>
      <c r="D101" s="680"/>
      <c r="E101" s="760" t="s">
        <v>701</v>
      </c>
      <c r="F101" s="765" t="s">
        <v>1380</v>
      </c>
      <c r="G101" s="41"/>
      <c r="H101" s="335"/>
    </row>
    <row r="102" spans="1:8" ht="18" customHeight="1">
      <c r="A102" s="600"/>
      <c r="B102" s="267">
        <f t="shared" si="2"/>
        <v>3</v>
      </c>
      <c r="C102" s="762" t="s">
        <v>701</v>
      </c>
      <c r="D102" s="680"/>
      <c r="E102" s="760" t="s">
        <v>701</v>
      </c>
      <c r="F102" s="765" t="s">
        <v>1380</v>
      </c>
      <c r="G102" s="41"/>
      <c r="H102" s="335"/>
    </row>
    <row r="103" spans="1:8" ht="18" customHeight="1">
      <c r="A103" s="600"/>
      <c r="B103" s="267">
        <f t="shared" si="2"/>
        <v>4</v>
      </c>
      <c r="C103" s="762" t="s">
        <v>701</v>
      </c>
      <c r="D103" s="680"/>
      <c r="E103" s="760" t="s">
        <v>701</v>
      </c>
      <c r="F103" s="765" t="s">
        <v>1380</v>
      </c>
      <c r="G103" s="41"/>
      <c r="H103" s="335"/>
    </row>
    <row r="104" spans="1:8" ht="18" customHeight="1">
      <c r="A104" s="600"/>
      <c r="B104" s="267">
        <f t="shared" si="2"/>
        <v>5</v>
      </c>
      <c r="C104" s="762" t="s">
        <v>701</v>
      </c>
      <c r="D104" s="680"/>
      <c r="E104" s="760" t="s">
        <v>701</v>
      </c>
      <c r="F104" s="765" t="s">
        <v>1380</v>
      </c>
      <c r="G104" s="41"/>
      <c r="H104" s="335"/>
    </row>
    <row r="105" spans="1:8" ht="18" customHeight="1">
      <c r="A105" s="600"/>
      <c r="B105" s="267">
        <f t="shared" si="2"/>
        <v>6</v>
      </c>
      <c r="C105" s="762" t="s">
        <v>701</v>
      </c>
      <c r="D105" s="680"/>
      <c r="E105" s="760" t="s">
        <v>701</v>
      </c>
      <c r="F105" s="765" t="s">
        <v>1380</v>
      </c>
      <c r="G105" s="41"/>
      <c r="H105" s="335"/>
    </row>
    <row r="106" spans="1:8" ht="18" customHeight="1">
      <c r="B106" s="277">
        <f t="shared" si="2"/>
        <v>7</v>
      </c>
      <c r="C106" s="279" t="s">
        <v>595</v>
      </c>
      <c r="D106" s="735">
        <v>32728</v>
      </c>
      <c r="E106" s="753" t="s">
        <v>1566</v>
      </c>
      <c r="F106" s="752" t="s">
        <v>356</v>
      </c>
      <c r="G106" s="41"/>
      <c r="H106" s="335"/>
    </row>
    <row r="107" spans="1:8" ht="18" customHeight="1">
      <c r="B107" s="277">
        <f t="shared" si="2"/>
        <v>8</v>
      </c>
      <c r="C107" s="279" t="s">
        <v>261</v>
      </c>
      <c r="D107" s="680">
        <v>0</v>
      </c>
      <c r="E107" s="753" t="s">
        <v>649</v>
      </c>
      <c r="F107" s="754" t="s">
        <v>598</v>
      </c>
      <c r="G107" s="349"/>
      <c r="H107" s="335"/>
    </row>
    <row r="108" spans="1:8" ht="18" customHeight="1">
      <c r="B108" s="277">
        <f t="shared" si="2"/>
        <v>9</v>
      </c>
      <c r="C108" s="279" t="s">
        <v>309</v>
      </c>
      <c r="D108" s="735">
        <v>2870523.08</v>
      </c>
      <c r="E108" s="280" t="s">
        <v>667</v>
      </c>
      <c r="F108" s="268" t="s">
        <v>681</v>
      </c>
      <c r="H108" s="335"/>
    </row>
    <row r="109" spans="1:8" ht="18" customHeight="1">
      <c r="B109" s="277">
        <f t="shared" si="2"/>
        <v>10</v>
      </c>
      <c r="C109" s="279" t="s">
        <v>310</v>
      </c>
      <c r="D109" s="907">
        <f>+D108</f>
        <v>2870523.08</v>
      </c>
      <c r="E109" s="280" t="s">
        <v>667</v>
      </c>
      <c r="F109" s="268" t="s">
        <v>681</v>
      </c>
      <c r="H109" s="335"/>
    </row>
    <row r="110" spans="1:8" ht="18" customHeight="1">
      <c r="B110" s="277">
        <f t="shared" si="2"/>
        <v>11</v>
      </c>
      <c r="C110" s="279" t="s">
        <v>246</v>
      </c>
      <c r="D110" s="680">
        <v>0</v>
      </c>
      <c r="E110" s="280" t="s">
        <v>1521</v>
      </c>
      <c r="F110" s="268" t="s">
        <v>688</v>
      </c>
      <c r="G110" s="349"/>
      <c r="H110" s="335"/>
    </row>
    <row r="111" spans="1:8" ht="18" customHeight="1">
      <c r="B111" s="277">
        <f t="shared" si="2"/>
        <v>12</v>
      </c>
      <c r="C111" s="279" t="s">
        <v>311</v>
      </c>
      <c r="D111" s="680">
        <v>0</v>
      </c>
      <c r="E111" s="280" t="s">
        <v>668</v>
      </c>
      <c r="F111" s="268" t="s">
        <v>681</v>
      </c>
      <c r="H111" s="335"/>
    </row>
    <row r="112" spans="1:8" ht="15">
      <c r="B112" s="277">
        <f t="shared" si="2"/>
        <v>13</v>
      </c>
      <c r="C112" s="279" t="s">
        <v>808</v>
      </c>
      <c r="D112" s="734">
        <f>+'11 - Facilities'!L56</f>
        <v>85279144.388324827</v>
      </c>
      <c r="E112" s="745" t="s">
        <v>1427</v>
      </c>
      <c r="F112" s="268" t="s">
        <v>331</v>
      </c>
      <c r="H112" s="335"/>
    </row>
    <row r="113" spans="2:14" ht="30">
      <c r="B113" s="277">
        <f t="shared" si="2"/>
        <v>14</v>
      </c>
      <c r="C113" s="746" t="s">
        <v>809</v>
      </c>
      <c r="D113" s="734">
        <f>+'11 - Facilities'!M56</f>
        <v>35519691.656922147</v>
      </c>
      <c r="E113" s="745" t="s">
        <v>1428</v>
      </c>
      <c r="F113" s="268" t="s">
        <v>466</v>
      </c>
      <c r="H113" s="335"/>
    </row>
    <row r="114" spans="2:14" ht="18" customHeight="1">
      <c r="B114" s="350">
        <f t="shared" ref="B114:B127" si="3">B113+1</f>
        <v>15</v>
      </c>
      <c r="C114" s="351" t="s">
        <v>201</v>
      </c>
      <c r="D114" s="680">
        <v>0</v>
      </c>
      <c r="E114" s="919" t="s">
        <v>669</v>
      </c>
      <c r="F114" s="920"/>
      <c r="G114" s="349"/>
      <c r="H114" s="335"/>
    </row>
    <row r="115" spans="2:14" ht="46.95" customHeight="1">
      <c r="B115" s="350">
        <f t="shared" si="3"/>
        <v>16</v>
      </c>
      <c r="C115" s="352" t="s">
        <v>416</v>
      </c>
      <c r="D115" s="680">
        <v>0</v>
      </c>
      <c r="E115" s="919" t="s">
        <v>588</v>
      </c>
      <c r="F115" s="920"/>
      <c r="G115" s="349"/>
      <c r="H115" s="727"/>
      <c r="I115" s="339"/>
    </row>
    <row r="116" spans="2:14" ht="32.25" customHeight="1">
      <c r="B116" s="350">
        <f t="shared" si="3"/>
        <v>17</v>
      </c>
      <c r="C116" s="881" t="s">
        <v>1631</v>
      </c>
      <c r="D116" s="735">
        <v>13243</v>
      </c>
      <c r="E116" s="919" t="s">
        <v>1567</v>
      </c>
      <c r="F116" s="920"/>
      <c r="H116" s="928"/>
      <c r="I116" s="928"/>
      <c r="J116" s="928"/>
      <c r="K116" s="928"/>
      <c r="L116" s="928"/>
      <c r="M116" s="928"/>
      <c r="N116" s="928"/>
    </row>
    <row r="117" spans="2:14" ht="34.5" customHeight="1">
      <c r="B117" s="353">
        <f>B116+1</f>
        <v>18</v>
      </c>
      <c r="C117" s="279" t="s">
        <v>560</v>
      </c>
      <c r="D117" s="735">
        <f>208586+84308</f>
        <v>292894</v>
      </c>
      <c r="E117" s="919" t="s">
        <v>1751</v>
      </c>
      <c r="F117" s="920"/>
      <c r="H117" s="727"/>
    </row>
    <row r="118" spans="2:14" ht="52.95" customHeight="1">
      <c r="B118" s="350">
        <f t="shared" si="3"/>
        <v>19</v>
      </c>
      <c r="C118" s="278" t="s">
        <v>508</v>
      </c>
      <c r="D118" s="680">
        <v>0</v>
      </c>
      <c r="E118" s="934" t="s">
        <v>631</v>
      </c>
      <c r="F118" s="935"/>
      <c r="H118" s="727"/>
    </row>
    <row r="119" spans="2:14" ht="87.6" customHeight="1">
      <c r="B119" s="277">
        <f t="shared" si="3"/>
        <v>20</v>
      </c>
      <c r="C119" s="354" t="s">
        <v>632</v>
      </c>
      <c r="D119" s="680">
        <v>0</v>
      </c>
      <c r="E119" s="919" t="s">
        <v>1381</v>
      </c>
      <c r="F119" s="920"/>
      <c r="G119" s="349"/>
      <c r="H119" s="727"/>
    </row>
    <row r="120" spans="2:14" ht="57" customHeight="1">
      <c r="B120" s="393">
        <f t="shared" si="3"/>
        <v>21</v>
      </c>
      <c r="C120" s="334" t="s">
        <v>610</v>
      </c>
      <c r="D120" s="735">
        <f>+'11 - Facilities'!O56</f>
        <v>2272715.0992078166</v>
      </c>
      <c r="E120" s="745" t="s">
        <v>1654</v>
      </c>
      <c r="F120" s="268" t="s">
        <v>339</v>
      </c>
      <c r="H120" s="335"/>
    </row>
    <row r="121" spans="2:14" ht="45">
      <c r="B121" s="393">
        <f t="shared" si="3"/>
        <v>22</v>
      </c>
      <c r="C121" s="571" t="s">
        <v>810</v>
      </c>
      <c r="D121" s="735">
        <f>+'11 - Facilities'!L64</f>
        <v>25193285.333490796</v>
      </c>
      <c r="E121" s="747" t="s">
        <v>1653</v>
      </c>
      <c r="F121" s="268" t="s">
        <v>614</v>
      </c>
      <c r="H121" s="335"/>
    </row>
    <row r="122" spans="2:14" ht="18" customHeight="1">
      <c r="B122" s="393">
        <f t="shared" si="3"/>
        <v>23</v>
      </c>
      <c r="C122" s="334" t="s">
        <v>738</v>
      </c>
      <c r="D122" s="735">
        <v>1514884</v>
      </c>
      <c r="E122" s="342" t="s">
        <v>1782</v>
      </c>
      <c r="F122" s="268" t="s">
        <v>752</v>
      </c>
      <c r="H122" s="335"/>
    </row>
    <row r="123" spans="2:14" ht="18" customHeight="1">
      <c r="B123" s="267">
        <f t="shared" si="3"/>
        <v>24</v>
      </c>
      <c r="C123" s="334" t="s">
        <v>737</v>
      </c>
      <c r="D123" s="735">
        <v>1779029</v>
      </c>
      <c r="E123" s="342" t="s">
        <v>1382</v>
      </c>
      <c r="F123" s="268" t="s">
        <v>753</v>
      </c>
      <c r="H123" s="335"/>
    </row>
    <row r="124" spans="2:14" ht="18" customHeight="1">
      <c r="B124" s="267">
        <f t="shared" si="3"/>
        <v>25</v>
      </c>
      <c r="C124" s="289" t="s">
        <v>740</v>
      </c>
      <c r="D124" s="735">
        <v>793326</v>
      </c>
      <c r="E124" s="342" t="s">
        <v>1783</v>
      </c>
      <c r="F124" s="268" t="s">
        <v>754</v>
      </c>
      <c r="H124" s="335"/>
    </row>
    <row r="125" spans="2:14" ht="18" customHeight="1">
      <c r="B125" s="267">
        <f t="shared" si="3"/>
        <v>26</v>
      </c>
      <c r="C125" s="289" t="s">
        <v>739</v>
      </c>
      <c r="D125" s="735">
        <v>216035</v>
      </c>
      <c r="E125" s="342" t="s">
        <v>1383</v>
      </c>
      <c r="F125" s="268" t="s">
        <v>755</v>
      </c>
      <c r="H125" s="335"/>
    </row>
    <row r="126" spans="2:14" ht="18" customHeight="1">
      <c r="B126" s="267">
        <f t="shared" si="3"/>
        <v>27</v>
      </c>
      <c r="C126" s="289" t="s">
        <v>742</v>
      </c>
      <c r="D126" s="736">
        <v>0</v>
      </c>
      <c r="E126" s="342" t="s">
        <v>1619</v>
      </c>
      <c r="F126" s="268" t="s">
        <v>756</v>
      </c>
      <c r="H126" s="335"/>
    </row>
    <row r="127" spans="2:14" ht="18" customHeight="1" thickBot="1">
      <c r="B127" s="267">
        <f t="shared" si="3"/>
        <v>28</v>
      </c>
      <c r="C127" s="289" t="s">
        <v>741</v>
      </c>
      <c r="D127" s="737">
        <v>0</v>
      </c>
      <c r="E127" s="342" t="s">
        <v>1384</v>
      </c>
      <c r="F127" s="268" t="s">
        <v>757</v>
      </c>
      <c r="H127" s="335"/>
    </row>
    <row r="128" spans="2:14" ht="18" customHeight="1">
      <c r="B128" s="10"/>
      <c r="C128" s="6"/>
      <c r="D128" s="355"/>
      <c r="E128" s="8"/>
      <c r="F128" s="8"/>
      <c r="H128" s="335"/>
    </row>
    <row r="129" spans="2:8" ht="18" customHeight="1">
      <c r="B129" s="6"/>
      <c r="C129" s="6"/>
      <c r="D129" s="6"/>
      <c r="E129" s="8"/>
      <c r="F129" s="8"/>
      <c r="H129" s="335"/>
    </row>
    <row r="130" spans="2:8" ht="18" customHeight="1">
      <c r="B130" s="332" t="s">
        <v>195</v>
      </c>
      <c r="C130" s="6"/>
      <c r="D130" s="6"/>
      <c r="E130" s="8"/>
      <c r="F130" s="8"/>
      <c r="H130" s="335"/>
    </row>
    <row r="131" spans="2:8" ht="18" customHeight="1" thickBot="1">
      <c r="B131" s="356"/>
      <c r="C131" s="6"/>
      <c r="D131" s="6"/>
      <c r="E131" s="8"/>
      <c r="F131" s="8"/>
      <c r="H131" s="335"/>
    </row>
    <row r="132" spans="2:8" s="36" customFormat="1" ht="18" customHeight="1" thickTop="1">
      <c r="B132" s="281" t="s">
        <v>244</v>
      </c>
      <c r="C132" s="750" t="s">
        <v>245</v>
      </c>
      <c r="D132" s="923" t="s">
        <v>420</v>
      </c>
      <c r="E132" s="923"/>
      <c r="F132" s="924"/>
      <c r="G132" s="23"/>
      <c r="H132" s="335"/>
    </row>
    <row r="133" spans="2:8" ht="18" customHeight="1">
      <c r="B133" s="267">
        <v>29</v>
      </c>
      <c r="C133" s="680" t="s">
        <v>701</v>
      </c>
      <c r="D133" s="921" t="s">
        <v>701</v>
      </c>
      <c r="E133" s="921"/>
      <c r="F133" s="922"/>
      <c r="H133" s="335"/>
    </row>
    <row r="134" spans="2:8" ht="18" customHeight="1">
      <c r="B134" s="267">
        <v>30</v>
      </c>
      <c r="C134" s="289" t="s">
        <v>198</v>
      </c>
      <c r="D134" s="344" t="s">
        <v>650</v>
      </c>
      <c r="E134" s="344"/>
      <c r="F134" s="357"/>
      <c r="H134" s="335"/>
    </row>
    <row r="135" spans="2:8" ht="18" customHeight="1" thickBot="1">
      <c r="B135" s="358"/>
      <c r="C135" s="359"/>
      <c r="D135" s="931"/>
      <c r="E135" s="932"/>
      <c r="F135" s="933"/>
      <c r="H135" s="335"/>
    </row>
    <row r="136" spans="2:8" ht="19.95" customHeight="1" thickTop="1">
      <c r="H136" s="335"/>
    </row>
    <row r="137" spans="2:8" ht="12" customHeight="1">
      <c r="D137" s="51" t="s">
        <v>505</v>
      </c>
      <c r="H137" s="335"/>
    </row>
    <row r="138" spans="2:8" ht="14.1" customHeight="1">
      <c r="D138" s="613" t="s">
        <v>1429</v>
      </c>
      <c r="H138" s="335"/>
    </row>
    <row r="139" spans="2:8" ht="14.1" customHeight="1">
      <c r="H139" s="335"/>
    </row>
    <row r="140" spans="2:8" s="600" customFormat="1" ht="18" customHeight="1">
      <c r="B140" s="34" t="s">
        <v>996</v>
      </c>
      <c r="C140" s="6"/>
      <c r="D140" s="355"/>
      <c r="E140" s="8"/>
      <c r="F140" s="8"/>
      <c r="H140" s="335"/>
    </row>
    <row r="141" spans="2:8" s="600" customFormat="1" ht="18" customHeight="1">
      <c r="B141" s="332" t="s">
        <v>10</v>
      </c>
      <c r="C141" s="6"/>
      <c r="D141" s="355"/>
      <c r="E141" s="8"/>
      <c r="F141" s="8"/>
      <c r="H141" s="335"/>
    </row>
    <row r="142" spans="2:8" s="600" customFormat="1" ht="18" customHeight="1" thickBot="1">
      <c r="B142" s="332"/>
      <c r="C142" s="6"/>
      <c r="D142" s="355"/>
      <c r="E142" s="8"/>
      <c r="F142" s="8"/>
      <c r="H142" s="335"/>
    </row>
    <row r="143" spans="2:8" s="600" customFormat="1" ht="18" customHeight="1" thickTop="1">
      <c r="B143" s="270" t="s">
        <v>264</v>
      </c>
      <c r="C143" s="926" t="s">
        <v>258</v>
      </c>
      <c r="D143" s="271" t="s">
        <v>418</v>
      </c>
      <c r="E143" s="272" t="s">
        <v>11</v>
      </c>
      <c r="F143" s="273" t="s">
        <v>265</v>
      </c>
      <c r="H143" s="335"/>
    </row>
    <row r="144" spans="2:8" s="600" customFormat="1" ht="18" customHeight="1" thickBot="1">
      <c r="B144" s="274" t="s">
        <v>266</v>
      </c>
      <c r="C144" s="927"/>
      <c r="D144" s="397" t="str">
        <f>+D7</f>
        <v>2025 FERC Form 1</v>
      </c>
      <c r="E144" s="275" t="s">
        <v>351</v>
      </c>
      <c r="F144" s="276" t="s">
        <v>267</v>
      </c>
      <c r="H144" s="335"/>
    </row>
    <row r="145" spans="2:9" s="600" customFormat="1" ht="18" customHeight="1" thickTop="1">
      <c r="B145" s="267">
        <v>1</v>
      </c>
      <c r="C145" s="289" t="s">
        <v>997</v>
      </c>
      <c r="D145" s="396">
        <v>100962578</v>
      </c>
      <c r="E145" s="342" t="s">
        <v>1758</v>
      </c>
      <c r="F145" s="268" t="s">
        <v>998</v>
      </c>
      <c r="H145" s="335"/>
    </row>
    <row r="146" spans="2:9" s="600" customFormat="1" ht="18" customHeight="1">
      <c r="B146" s="267">
        <f>+B145+1</f>
        <v>2</v>
      </c>
      <c r="C146" s="289" t="s">
        <v>999</v>
      </c>
      <c r="D146" s="396">
        <v>88048028</v>
      </c>
      <c r="E146" s="342" t="s">
        <v>1572</v>
      </c>
      <c r="F146" s="268" t="s">
        <v>1000</v>
      </c>
      <c r="H146" s="335"/>
    </row>
    <row r="147" spans="2:9" s="600" customFormat="1" ht="18" customHeight="1">
      <c r="B147" s="267">
        <f t="shared" ref="B147:B210" si="4">+B146+1</f>
        <v>3</v>
      </c>
      <c r="C147" s="289" t="s">
        <v>1001</v>
      </c>
      <c r="D147" s="396">
        <v>0</v>
      </c>
      <c r="E147" s="342" t="s">
        <v>1752</v>
      </c>
      <c r="F147" s="268" t="s">
        <v>1002</v>
      </c>
      <c r="H147" s="335"/>
    </row>
    <row r="148" spans="2:9" s="600" customFormat="1" ht="18" customHeight="1">
      <c r="B148" s="267">
        <f t="shared" si="4"/>
        <v>4</v>
      </c>
      <c r="C148" s="289" t="s">
        <v>1003</v>
      </c>
      <c r="D148" s="396">
        <v>0</v>
      </c>
      <c r="E148" s="342" t="s">
        <v>1753</v>
      </c>
      <c r="F148" s="268" t="s">
        <v>1004</v>
      </c>
      <c r="H148" s="335"/>
    </row>
    <row r="149" spans="2:9" s="600" customFormat="1" ht="18" customHeight="1">
      <c r="B149" s="267">
        <f t="shared" si="4"/>
        <v>5</v>
      </c>
      <c r="C149" s="289" t="s">
        <v>1005</v>
      </c>
      <c r="D149" s="396">
        <v>1977771</v>
      </c>
      <c r="E149" s="342" t="s">
        <v>1754</v>
      </c>
      <c r="F149" s="268" t="s">
        <v>1006</v>
      </c>
      <c r="H149" s="335"/>
    </row>
    <row r="150" spans="2:9" s="600" customFormat="1" ht="18" customHeight="1">
      <c r="B150" s="267">
        <f t="shared" si="4"/>
        <v>6</v>
      </c>
      <c r="C150" s="289" t="s">
        <v>1007</v>
      </c>
      <c r="D150" s="396">
        <v>1996847</v>
      </c>
      <c r="E150" s="342" t="s">
        <v>1568</v>
      </c>
      <c r="F150" s="268" t="s">
        <v>1008</v>
      </c>
      <c r="H150" s="335"/>
    </row>
    <row r="151" spans="2:9" s="600" customFormat="1" ht="18" customHeight="1">
      <c r="B151" s="267">
        <f t="shared" si="4"/>
        <v>7</v>
      </c>
      <c r="C151" s="289" t="s">
        <v>1009</v>
      </c>
      <c r="D151" s="396">
        <v>1005276</v>
      </c>
      <c r="E151" s="342" t="s">
        <v>1755</v>
      </c>
      <c r="F151" s="268" t="s">
        <v>1010</v>
      </c>
      <c r="H151" s="335"/>
    </row>
    <row r="152" spans="2:9" s="600" customFormat="1" ht="18" customHeight="1">
      <c r="B152" s="267">
        <f t="shared" si="4"/>
        <v>8</v>
      </c>
      <c r="C152" s="289" t="s">
        <v>1011</v>
      </c>
      <c r="D152" s="396">
        <v>975746</v>
      </c>
      <c r="E152" s="342" t="s">
        <v>1569</v>
      </c>
      <c r="F152" s="268" t="s">
        <v>1012</v>
      </c>
      <c r="H152" s="335"/>
    </row>
    <row r="153" spans="2:9" s="600" customFormat="1" ht="18" customHeight="1">
      <c r="B153" s="267">
        <f t="shared" si="4"/>
        <v>9</v>
      </c>
      <c r="C153" s="289" t="s">
        <v>1013</v>
      </c>
      <c r="D153" s="396">
        <v>292505</v>
      </c>
      <c r="E153" s="342" t="s">
        <v>1756</v>
      </c>
      <c r="F153" s="268" t="s">
        <v>1014</v>
      </c>
      <c r="H153" s="335"/>
    </row>
    <row r="154" spans="2:9" s="600" customFormat="1" ht="18" customHeight="1">
      <c r="B154" s="267">
        <f t="shared" si="4"/>
        <v>10</v>
      </c>
      <c r="C154" s="289" t="s">
        <v>1015</v>
      </c>
      <c r="D154" s="396">
        <v>551314</v>
      </c>
      <c r="E154" s="342" t="s">
        <v>1570</v>
      </c>
      <c r="F154" s="268" t="s">
        <v>1016</v>
      </c>
      <c r="H154" s="335"/>
    </row>
    <row r="155" spans="2:9" s="600" customFormat="1" ht="18" customHeight="1">
      <c r="B155" s="267">
        <f t="shared" si="4"/>
        <v>11</v>
      </c>
      <c r="C155" s="289" t="s">
        <v>1017</v>
      </c>
      <c r="D155" s="679">
        <v>-765014</v>
      </c>
      <c r="E155" s="342" t="s">
        <v>1757</v>
      </c>
      <c r="F155" s="268" t="s">
        <v>1018</v>
      </c>
      <c r="H155" s="335"/>
    </row>
    <row r="156" spans="2:9" s="600" customFormat="1" ht="18" customHeight="1">
      <c r="B156" s="267">
        <f t="shared" si="4"/>
        <v>12</v>
      </c>
      <c r="C156" s="289" t="s">
        <v>1019</v>
      </c>
      <c r="D156" s="679">
        <v>-729568</v>
      </c>
      <c r="E156" s="342" t="s">
        <v>1571</v>
      </c>
      <c r="F156" s="268" t="s">
        <v>1020</v>
      </c>
      <c r="H156" s="335"/>
    </row>
    <row r="157" spans="2:9" s="600" customFormat="1" ht="18" customHeight="1">
      <c r="B157" s="267">
        <f t="shared" si="4"/>
        <v>13</v>
      </c>
      <c r="C157" s="289" t="s">
        <v>1021</v>
      </c>
      <c r="D157" s="679">
        <v>1937734</v>
      </c>
      <c r="E157" s="342" t="s">
        <v>1573</v>
      </c>
      <c r="F157" s="268" t="s">
        <v>1022</v>
      </c>
      <c r="H157" s="335"/>
    </row>
    <row r="158" spans="2:9" s="600" customFormat="1" ht="18" customHeight="1">
      <c r="B158" s="267">
        <f t="shared" si="4"/>
        <v>14</v>
      </c>
      <c r="C158" s="289" t="s">
        <v>1023</v>
      </c>
      <c r="D158" s="679">
        <v>1984141</v>
      </c>
      <c r="E158" s="342" t="s">
        <v>1574</v>
      </c>
      <c r="F158" s="268" t="s">
        <v>1024</v>
      </c>
      <c r="H158" s="335"/>
    </row>
    <row r="159" spans="2:9" s="600" customFormat="1" ht="18" customHeight="1">
      <c r="B159" s="267">
        <f t="shared" si="4"/>
        <v>15</v>
      </c>
      <c r="C159" s="289" t="s">
        <v>1025</v>
      </c>
      <c r="D159" s="679">
        <v>-129189</v>
      </c>
      <c r="E159" s="342" t="s">
        <v>1573</v>
      </c>
      <c r="F159" s="268" t="s">
        <v>1026</v>
      </c>
      <c r="H159" s="335"/>
      <c r="I159" s="868"/>
    </row>
    <row r="160" spans="2:9" s="600" customFormat="1" ht="18" customHeight="1">
      <c r="B160" s="267">
        <f t="shared" si="4"/>
        <v>16</v>
      </c>
      <c r="C160" s="289" t="s">
        <v>1027</v>
      </c>
      <c r="D160" s="679">
        <v>-155819</v>
      </c>
      <c r="E160" s="342" t="s">
        <v>1574</v>
      </c>
      <c r="F160" s="268" t="s">
        <v>1028</v>
      </c>
      <c r="H160" s="335"/>
      <c r="I160" s="868"/>
    </row>
    <row r="161" spans="2:9" s="600" customFormat="1" ht="18" customHeight="1">
      <c r="B161" s="267">
        <f t="shared" si="4"/>
        <v>17</v>
      </c>
      <c r="C161" s="289" t="s">
        <v>1029</v>
      </c>
      <c r="D161" s="679">
        <v>0</v>
      </c>
      <c r="E161" s="342" t="s">
        <v>1573</v>
      </c>
      <c r="F161" s="268" t="s">
        <v>1030</v>
      </c>
      <c r="H161" s="335"/>
      <c r="I161" s="868"/>
    </row>
    <row r="162" spans="2:9" s="600" customFormat="1" ht="18" customHeight="1">
      <c r="B162" s="267">
        <f t="shared" si="4"/>
        <v>18</v>
      </c>
      <c r="C162" s="289" t="s">
        <v>1031</v>
      </c>
      <c r="D162" s="396">
        <v>0</v>
      </c>
      <c r="E162" s="342" t="s">
        <v>1574</v>
      </c>
      <c r="F162" s="268" t="s">
        <v>1032</v>
      </c>
      <c r="H162" s="335"/>
      <c r="I162" s="868"/>
    </row>
    <row r="163" spans="2:9" s="600" customFormat="1" ht="18" customHeight="1">
      <c r="B163" s="267">
        <f t="shared" si="4"/>
        <v>19</v>
      </c>
      <c r="C163" s="289" t="s">
        <v>1033</v>
      </c>
      <c r="D163" s="396">
        <v>18713216</v>
      </c>
      <c r="E163" s="342" t="s">
        <v>1573</v>
      </c>
      <c r="F163" s="268" t="s">
        <v>1034</v>
      </c>
      <c r="H163" s="335"/>
      <c r="I163" s="868"/>
    </row>
    <row r="164" spans="2:9" s="600" customFormat="1" ht="18" customHeight="1">
      <c r="B164" s="267">
        <f t="shared" si="4"/>
        <v>20</v>
      </c>
      <c r="C164" s="289" t="s">
        <v>1035</v>
      </c>
      <c r="D164" s="396">
        <v>15178165</v>
      </c>
      <c r="E164" s="342" t="s">
        <v>1574</v>
      </c>
      <c r="F164" s="268" t="s">
        <v>1036</v>
      </c>
      <c r="H164" s="335"/>
      <c r="I164" s="868"/>
    </row>
    <row r="165" spans="2:9" s="600" customFormat="1" ht="18" customHeight="1">
      <c r="B165" s="267">
        <f t="shared" si="4"/>
        <v>21</v>
      </c>
      <c r="C165" s="289" t="s">
        <v>1037</v>
      </c>
      <c r="D165" s="396">
        <f>14232910+63697369</f>
        <v>77930279</v>
      </c>
      <c r="E165" s="342" t="s">
        <v>1760</v>
      </c>
      <c r="F165" s="268" t="s">
        <v>1038</v>
      </c>
      <c r="H165" s="335"/>
      <c r="I165" s="868"/>
    </row>
    <row r="166" spans="2:9" s="600" customFormat="1" ht="18" customHeight="1">
      <c r="B166" s="267">
        <f t="shared" si="4"/>
        <v>22</v>
      </c>
      <c r="C166" s="289" t="s">
        <v>1039</v>
      </c>
      <c r="D166" s="396">
        <f>14020365+54226837</f>
        <v>68247202</v>
      </c>
      <c r="E166" s="342" t="s">
        <v>1759</v>
      </c>
      <c r="F166" s="268" t="s">
        <v>1040</v>
      </c>
      <c r="H166" s="335"/>
      <c r="I166" s="868"/>
    </row>
    <row r="167" spans="2:9" s="600" customFormat="1" ht="18" customHeight="1">
      <c r="B167" s="267">
        <f t="shared" si="4"/>
        <v>23</v>
      </c>
      <c r="C167" s="289" t="s">
        <v>1041</v>
      </c>
      <c r="D167" s="396">
        <v>0</v>
      </c>
      <c r="E167" s="342" t="s">
        <v>598</v>
      </c>
      <c r="F167" s="268" t="s">
        <v>598</v>
      </c>
      <c r="H167" s="335"/>
      <c r="I167" s="868"/>
    </row>
    <row r="168" spans="2:9" s="600" customFormat="1" ht="18" customHeight="1">
      <c r="B168" s="267">
        <f t="shared" si="4"/>
        <v>24</v>
      </c>
      <c r="C168" s="289" t="s">
        <v>1042</v>
      </c>
      <c r="D168" s="396">
        <v>0</v>
      </c>
      <c r="E168" s="342" t="s">
        <v>598</v>
      </c>
      <c r="F168" s="268" t="s">
        <v>598</v>
      </c>
      <c r="H168" s="335"/>
      <c r="I168" s="868"/>
    </row>
    <row r="169" spans="2:9" s="600" customFormat="1" ht="18" customHeight="1">
      <c r="B169" s="267">
        <f t="shared" si="4"/>
        <v>25</v>
      </c>
      <c r="C169" s="289" t="s">
        <v>1043</v>
      </c>
      <c r="D169" s="396">
        <v>114032986</v>
      </c>
      <c r="E169" s="342" t="s">
        <v>1763</v>
      </c>
      <c r="F169" s="268" t="s">
        <v>1044</v>
      </c>
      <c r="H169" s="335"/>
      <c r="I169" s="868"/>
    </row>
    <row r="170" spans="2:9" s="600" customFormat="1" ht="18" customHeight="1">
      <c r="B170" s="267">
        <f t="shared" si="4"/>
        <v>26</v>
      </c>
      <c r="C170" s="289" t="s">
        <v>1045</v>
      </c>
      <c r="D170" s="396">
        <v>115713564</v>
      </c>
      <c r="E170" s="342" t="s">
        <v>1764</v>
      </c>
      <c r="F170" s="268" t="s">
        <v>1046</v>
      </c>
      <c r="H170" s="335"/>
      <c r="I170" s="868"/>
    </row>
    <row r="171" spans="2:9" s="600" customFormat="1" ht="18" customHeight="1">
      <c r="B171" s="267">
        <f t="shared" si="4"/>
        <v>27</v>
      </c>
      <c r="C171" s="289" t="s">
        <v>1047</v>
      </c>
      <c r="D171" s="396">
        <v>93215960</v>
      </c>
      <c r="E171" s="342" t="s">
        <v>1761</v>
      </c>
      <c r="F171" s="268" t="s">
        <v>1048</v>
      </c>
      <c r="H171" s="335"/>
      <c r="I171" s="868"/>
    </row>
    <row r="172" spans="2:9" s="600" customFormat="1" ht="18" customHeight="1">
      <c r="B172" s="267">
        <f t="shared" si="4"/>
        <v>28</v>
      </c>
      <c r="C172" s="289" t="s">
        <v>1049</v>
      </c>
      <c r="D172" s="396">
        <v>95132076</v>
      </c>
      <c r="E172" s="342" t="s">
        <v>1575</v>
      </c>
      <c r="F172" s="268" t="s">
        <v>1050</v>
      </c>
      <c r="H172" s="335"/>
      <c r="I172" s="868"/>
    </row>
    <row r="173" spans="2:9" s="600" customFormat="1" ht="18" customHeight="1">
      <c r="B173" s="267">
        <f t="shared" si="4"/>
        <v>29</v>
      </c>
      <c r="C173" s="289" t="s">
        <v>1051</v>
      </c>
      <c r="D173" s="396">
        <v>20817026</v>
      </c>
      <c r="E173" s="342" t="s">
        <v>1762</v>
      </c>
      <c r="F173" s="268" t="s">
        <v>1052</v>
      </c>
      <c r="H173" s="335"/>
      <c r="I173" s="868"/>
    </row>
    <row r="174" spans="2:9" s="600" customFormat="1" ht="18" customHeight="1">
      <c r="B174" s="267">
        <f t="shared" si="4"/>
        <v>30</v>
      </c>
      <c r="C174" s="289" t="s">
        <v>1053</v>
      </c>
      <c r="D174" s="396">
        <v>20581488</v>
      </c>
      <c r="E174" s="342" t="s">
        <v>1576</v>
      </c>
      <c r="F174" s="268" t="s">
        <v>1054</v>
      </c>
      <c r="H174" s="335"/>
      <c r="I174" s="868"/>
    </row>
    <row r="175" spans="2:9" s="600" customFormat="1" ht="18" customHeight="1">
      <c r="B175" s="267">
        <f t="shared" si="4"/>
        <v>31</v>
      </c>
      <c r="C175" s="289" t="s">
        <v>1055</v>
      </c>
      <c r="D175" s="396">
        <v>16763454</v>
      </c>
      <c r="E175" s="342" t="s">
        <v>1765</v>
      </c>
      <c r="F175" s="268" t="s">
        <v>1056</v>
      </c>
      <c r="H175" s="335"/>
      <c r="I175" s="868"/>
    </row>
    <row r="176" spans="2:9" s="600" customFormat="1" ht="18" customHeight="1">
      <c r="B176" s="267">
        <f t="shared" si="4"/>
        <v>32</v>
      </c>
      <c r="C176" s="289" t="s">
        <v>1057</v>
      </c>
      <c r="D176" s="396">
        <v>17115565</v>
      </c>
      <c r="E176" s="342" t="s">
        <v>1766</v>
      </c>
      <c r="F176" s="268" t="s">
        <v>1058</v>
      </c>
      <c r="H176" s="335"/>
      <c r="I176" s="868"/>
    </row>
    <row r="177" spans="2:9" s="600" customFormat="1" ht="18" customHeight="1">
      <c r="B177" s="267">
        <f t="shared" si="4"/>
        <v>33</v>
      </c>
      <c r="C177" s="289" t="s">
        <v>1059</v>
      </c>
      <c r="D177" s="396">
        <v>930066</v>
      </c>
      <c r="E177" s="342" t="s">
        <v>1767</v>
      </c>
      <c r="F177" s="268" t="s">
        <v>1060</v>
      </c>
      <c r="H177" s="335"/>
      <c r="I177" s="868"/>
    </row>
    <row r="178" spans="2:9" s="600" customFormat="1" ht="18" customHeight="1">
      <c r="B178" s="267">
        <f t="shared" si="4"/>
        <v>34</v>
      </c>
      <c r="C178" s="289" t="s">
        <v>1061</v>
      </c>
      <c r="D178" s="396">
        <v>1012588</v>
      </c>
      <c r="E178" s="342" t="s">
        <v>1522</v>
      </c>
      <c r="F178" s="268" t="s">
        <v>1062</v>
      </c>
      <c r="H178" s="335"/>
      <c r="I178" s="868"/>
    </row>
    <row r="179" spans="2:9" s="600" customFormat="1" ht="18" customHeight="1">
      <c r="B179" s="267">
        <f t="shared" si="4"/>
        <v>35</v>
      </c>
      <c r="C179" s="289" t="s">
        <v>1063</v>
      </c>
      <c r="D179" s="396">
        <v>9354853</v>
      </c>
      <c r="E179" s="342" t="s">
        <v>1768</v>
      </c>
      <c r="F179" s="268" t="s">
        <v>1064</v>
      </c>
      <c r="H179" s="335"/>
      <c r="I179" s="868"/>
    </row>
    <row r="180" spans="2:9" s="600" customFormat="1" ht="18" customHeight="1">
      <c r="B180" s="267">
        <f t="shared" si="4"/>
        <v>36</v>
      </c>
      <c r="C180" s="289" t="s">
        <v>1065</v>
      </c>
      <c r="D180" s="396">
        <v>9421320</v>
      </c>
      <c r="E180" s="342" t="s">
        <v>1523</v>
      </c>
      <c r="F180" s="268" t="s">
        <v>1066</v>
      </c>
      <c r="H180" s="335"/>
      <c r="I180" s="868"/>
    </row>
    <row r="181" spans="2:9" s="600" customFormat="1" ht="18" customHeight="1">
      <c r="B181" s="267">
        <f t="shared" si="4"/>
        <v>37</v>
      </c>
      <c r="C181" s="289" t="s">
        <v>1037</v>
      </c>
      <c r="D181" s="396">
        <f>6582107-103572</f>
        <v>6478535</v>
      </c>
      <c r="E181" s="342" t="s">
        <v>1769</v>
      </c>
      <c r="F181" s="268" t="s">
        <v>1067</v>
      </c>
      <c r="H181" s="335"/>
      <c r="I181" s="868"/>
    </row>
    <row r="182" spans="2:9" s="600" customFormat="1" ht="18" customHeight="1">
      <c r="B182" s="267">
        <f t="shared" si="4"/>
        <v>38</v>
      </c>
      <c r="C182" s="289" t="s">
        <v>1039</v>
      </c>
      <c r="D182" s="396">
        <f>6806078-124421</f>
        <v>6681657</v>
      </c>
      <c r="E182" s="342" t="s">
        <v>1524</v>
      </c>
      <c r="F182" s="268" t="s">
        <v>1068</v>
      </c>
      <c r="H182" s="335"/>
      <c r="I182" s="868"/>
    </row>
    <row r="183" spans="2:9" s="600" customFormat="1" ht="18" customHeight="1">
      <c r="B183" s="267">
        <f t="shared" si="4"/>
        <v>39</v>
      </c>
      <c r="C183" s="289" t="s">
        <v>1069</v>
      </c>
      <c r="D183" s="396"/>
      <c r="E183" s="760" t="s">
        <v>1070</v>
      </c>
      <c r="F183" s="268" t="s">
        <v>1071</v>
      </c>
      <c r="H183" s="335"/>
      <c r="I183" s="868"/>
    </row>
    <row r="184" spans="2:9" s="600" customFormat="1" ht="18" customHeight="1">
      <c r="B184" s="267">
        <f t="shared" si="4"/>
        <v>40</v>
      </c>
      <c r="C184" s="289" t="s">
        <v>1072</v>
      </c>
      <c r="D184" s="396"/>
      <c r="E184" s="760" t="s">
        <v>1073</v>
      </c>
      <c r="F184" s="268" t="s">
        <v>1074</v>
      </c>
      <c r="H184" s="335"/>
      <c r="I184" s="868"/>
    </row>
    <row r="185" spans="2:9" s="600" customFormat="1" ht="18" customHeight="1">
      <c r="B185" s="267">
        <f t="shared" si="4"/>
        <v>41</v>
      </c>
      <c r="C185" s="289" t="s">
        <v>1075</v>
      </c>
      <c r="D185" s="396"/>
      <c r="E185" s="760" t="s">
        <v>1076</v>
      </c>
      <c r="F185" s="268" t="s">
        <v>1077</v>
      </c>
      <c r="H185" s="335"/>
      <c r="I185" s="868"/>
    </row>
    <row r="186" spans="2:9" s="600" customFormat="1" ht="18" customHeight="1">
      <c r="B186" s="267">
        <f t="shared" si="4"/>
        <v>42</v>
      </c>
      <c r="C186" s="289" t="s">
        <v>1078</v>
      </c>
      <c r="D186" s="396"/>
      <c r="E186" s="760" t="s">
        <v>1079</v>
      </c>
      <c r="F186" s="268" t="s">
        <v>1080</v>
      </c>
      <c r="H186" s="335"/>
      <c r="I186" s="868"/>
    </row>
    <row r="187" spans="2:9" s="600" customFormat="1" ht="18" customHeight="1">
      <c r="B187" s="267">
        <f t="shared" si="4"/>
        <v>43</v>
      </c>
      <c r="C187" s="289" t="s">
        <v>1081</v>
      </c>
      <c r="D187" s="396"/>
      <c r="E187" s="760" t="s">
        <v>1082</v>
      </c>
      <c r="F187" s="268" t="s">
        <v>1083</v>
      </c>
      <c r="H187" s="335"/>
      <c r="I187" s="868"/>
    </row>
    <row r="188" spans="2:9" s="600" customFormat="1" ht="18" customHeight="1">
      <c r="B188" s="267">
        <f t="shared" si="4"/>
        <v>44</v>
      </c>
      <c r="C188" s="289" t="s">
        <v>1084</v>
      </c>
      <c r="D188" s="396"/>
      <c r="E188" s="760" t="s">
        <v>1085</v>
      </c>
      <c r="F188" s="268" t="s">
        <v>1086</v>
      </c>
      <c r="H188" s="335"/>
      <c r="I188" s="868"/>
    </row>
    <row r="189" spans="2:9" s="600" customFormat="1" ht="18" customHeight="1">
      <c r="B189" s="267">
        <f t="shared" si="4"/>
        <v>45</v>
      </c>
      <c r="C189" s="289" t="s">
        <v>1087</v>
      </c>
      <c r="D189" s="396"/>
      <c r="E189" s="760" t="s">
        <v>1088</v>
      </c>
      <c r="F189" s="268" t="s">
        <v>1089</v>
      </c>
      <c r="H189" s="335"/>
      <c r="I189" s="868"/>
    </row>
    <row r="190" spans="2:9" s="600" customFormat="1" ht="18" customHeight="1">
      <c r="B190" s="267">
        <f t="shared" si="4"/>
        <v>46</v>
      </c>
      <c r="C190" s="289" t="s">
        <v>1090</v>
      </c>
      <c r="D190" s="396"/>
      <c r="E190" s="760" t="s">
        <v>1091</v>
      </c>
      <c r="F190" s="268" t="s">
        <v>1092</v>
      </c>
      <c r="H190" s="335"/>
      <c r="I190" s="868"/>
    </row>
    <row r="191" spans="2:9" s="600" customFormat="1" ht="18" customHeight="1">
      <c r="B191" s="267">
        <f t="shared" si="4"/>
        <v>47</v>
      </c>
      <c r="C191" s="289" t="s">
        <v>1093</v>
      </c>
      <c r="D191" s="396"/>
      <c r="E191" s="760" t="s">
        <v>1094</v>
      </c>
      <c r="F191" s="268" t="s">
        <v>1095</v>
      </c>
      <c r="H191" s="335"/>
      <c r="I191" s="868"/>
    </row>
    <row r="192" spans="2:9" s="600" customFormat="1" ht="18" customHeight="1">
      <c r="B192" s="267">
        <f t="shared" si="4"/>
        <v>48</v>
      </c>
      <c r="C192" s="289" t="s">
        <v>1096</v>
      </c>
      <c r="D192" s="396"/>
      <c r="E192" s="760" t="s">
        <v>1097</v>
      </c>
      <c r="F192" s="268" t="s">
        <v>1098</v>
      </c>
      <c r="H192" s="335"/>
      <c r="I192" s="868"/>
    </row>
    <row r="193" spans="2:9" s="600" customFormat="1" ht="18" customHeight="1">
      <c r="B193" s="267">
        <f t="shared" si="4"/>
        <v>49</v>
      </c>
      <c r="C193" s="289" t="s">
        <v>1099</v>
      </c>
      <c r="D193" s="396"/>
      <c r="E193" s="760" t="s">
        <v>1100</v>
      </c>
      <c r="F193" s="268" t="s">
        <v>1101</v>
      </c>
      <c r="H193" s="335"/>
      <c r="I193" s="868"/>
    </row>
    <row r="194" spans="2:9" s="600" customFormat="1" ht="18" customHeight="1">
      <c r="B194" s="267">
        <f t="shared" si="4"/>
        <v>50</v>
      </c>
      <c r="C194" s="289" t="s">
        <v>1102</v>
      </c>
      <c r="D194" s="396"/>
      <c r="E194" s="760" t="s">
        <v>1103</v>
      </c>
      <c r="F194" s="268" t="s">
        <v>1104</v>
      </c>
      <c r="H194" s="335"/>
      <c r="I194" s="868"/>
    </row>
    <row r="195" spans="2:9" s="600" customFormat="1" ht="18" customHeight="1">
      <c r="B195" s="267">
        <f t="shared" si="4"/>
        <v>51</v>
      </c>
      <c r="C195" s="289" t="s">
        <v>1105</v>
      </c>
      <c r="D195" s="396"/>
      <c r="E195" s="760" t="s">
        <v>1106</v>
      </c>
      <c r="F195" s="268" t="s">
        <v>1107</v>
      </c>
      <c r="H195" s="335"/>
      <c r="I195" s="868"/>
    </row>
    <row r="196" spans="2:9" s="600" customFormat="1" ht="18" customHeight="1">
      <c r="B196" s="267">
        <f t="shared" si="4"/>
        <v>52</v>
      </c>
      <c r="C196" s="289" t="s">
        <v>1108</v>
      </c>
      <c r="D196" s="396"/>
      <c r="E196" s="760" t="s">
        <v>1109</v>
      </c>
      <c r="F196" s="268" t="s">
        <v>1110</v>
      </c>
      <c r="H196" s="335"/>
      <c r="I196" s="868"/>
    </row>
    <row r="197" spans="2:9" s="600" customFormat="1" ht="18" customHeight="1">
      <c r="B197" s="267">
        <f t="shared" si="4"/>
        <v>53</v>
      </c>
      <c r="C197" s="289" t="s">
        <v>1111</v>
      </c>
      <c r="D197" s="396"/>
      <c r="E197" s="760" t="s">
        <v>1112</v>
      </c>
      <c r="F197" s="268" t="s">
        <v>1113</v>
      </c>
      <c r="H197" s="335"/>
      <c r="I197" s="868"/>
    </row>
    <row r="198" spans="2:9" s="600" customFormat="1" ht="18" customHeight="1">
      <c r="B198" s="267">
        <f t="shared" si="4"/>
        <v>54</v>
      </c>
      <c r="C198" s="289" t="s">
        <v>1114</v>
      </c>
      <c r="D198" s="396"/>
      <c r="E198" s="760" t="s">
        <v>1115</v>
      </c>
      <c r="F198" s="268" t="s">
        <v>1116</v>
      </c>
      <c r="H198" s="335"/>
      <c r="I198" s="868"/>
    </row>
    <row r="199" spans="2:9" s="600" customFormat="1" ht="18" customHeight="1">
      <c r="B199" s="267">
        <f t="shared" si="4"/>
        <v>55</v>
      </c>
      <c r="C199" s="289" t="s">
        <v>1117</v>
      </c>
      <c r="D199" s="396"/>
      <c r="E199" s="760" t="s">
        <v>1118</v>
      </c>
      <c r="F199" s="268" t="s">
        <v>1119</v>
      </c>
      <c r="H199" s="335"/>
      <c r="I199" s="868"/>
    </row>
    <row r="200" spans="2:9" s="600" customFormat="1" ht="18" customHeight="1">
      <c r="B200" s="267">
        <f t="shared" si="4"/>
        <v>56</v>
      </c>
      <c r="C200" s="289" t="s">
        <v>1120</v>
      </c>
      <c r="D200" s="396"/>
      <c r="E200" s="760" t="s">
        <v>1121</v>
      </c>
      <c r="F200" s="268" t="s">
        <v>1122</v>
      </c>
      <c r="H200" s="335"/>
      <c r="I200" s="868"/>
    </row>
    <row r="201" spans="2:9" s="600" customFormat="1" ht="18" customHeight="1">
      <c r="B201" s="267">
        <f t="shared" si="4"/>
        <v>57</v>
      </c>
      <c r="C201" s="289" t="s">
        <v>1449</v>
      </c>
      <c r="D201" s="396"/>
      <c r="E201" s="760" t="s">
        <v>1123</v>
      </c>
      <c r="F201" s="268" t="s">
        <v>1124</v>
      </c>
      <c r="H201" s="335"/>
      <c r="I201" s="868"/>
    </row>
    <row r="202" spans="2:9" s="600" customFormat="1" ht="18" customHeight="1">
      <c r="B202" s="267">
        <f t="shared" si="4"/>
        <v>58</v>
      </c>
      <c r="C202" s="289" t="s">
        <v>1450</v>
      </c>
      <c r="D202" s="396"/>
      <c r="E202" s="760" t="s">
        <v>1125</v>
      </c>
      <c r="F202" s="268" t="s">
        <v>1126</v>
      </c>
      <c r="H202" s="335"/>
      <c r="I202" s="868"/>
    </row>
    <row r="203" spans="2:9" s="600" customFormat="1" ht="18" customHeight="1">
      <c r="B203" s="267">
        <f t="shared" si="4"/>
        <v>59</v>
      </c>
      <c r="C203" s="289" t="s">
        <v>1069</v>
      </c>
      <c r="D203" s="679">
        <v>3587409</v>
      </c>
      <c r="E203" s="342" t="s">
        <v>1525</v>
      </c>
      <c r="F203" s="268" t="s">
        <v>1127</v>
      </c>
      <c r="H203" s="335"/>
      <c r="I203" s="868"/>
    </row>
    <row r="204" spans="2:9" s="600" customFormat="1" ht="18" customHeight="1">
      <c r="B204" s="267">
        <f t="shared" si="4"/>
        <v>60</v>
      </c>
      <c r="C204" s="289" t="s">
        <v>1069</v>
      </c>
      <c r="D204" s="679">
        <v>3449271</v>
      </c>
      <c r="E204" s="342" t="s">
        <v>1526</v>
      </c>
      <c r="F204" s="268" t="s">
        <v>1128</v>
      </c>
      <c r="H204" s="335"/>
      <c r="I204" s="868"/>
    </row>
    <row r="205" spans="2:9" s="600" customFormat="1" ht="18" customHeight="1">
      <c r="B205" s="267">
        <f t="shared" si="4"/>
        <v>61</v>
      </c>
      <c r="C205" s="289" t="s">
        <v>1072</v>
      </c>
      <c r="D205" s="679">
        <v>-143211</v>
      </c>
      <c r="E205" s="342" t="s">
        <v>1527</v>
      </c>
      <c r="F205" s="268" t="s">
        <v>1129</v>
      </c>
      <c r="H205" s="335"/>
      <c r="I205" s="868"/>
    </row>
    <row r="206" spans="2:9" s="600" customFormat="1" ht="18" customHeight="1">
      <c r="B206" s="267">
        <f t="shared" si="4"/>
        <v>62</v>
      </c>
      <c r="C206" s="289" t="s">
        <v>1072</v>
      </c>
      <c r="D206" s="679">
        <v>-137698</v>
      </c>
      <c r="E206" s="342" t="s">
        <v>1528</v>
      </c>
      <c r="F206" s="268" t="s">
        <v>1130</v>
      </c>
      <c r="H206" s="335"/>
      <c r="I206" s="868"/>
    </row>
    <row r="207" spans="2:9" s="600" customFormat="1" ht="18" customHeight="1">
      <c r="B207" s="267">
        <f t="shared" si="4"/>
        <v>63</v>
      </c>
      <c r="C207" s="289" t="s">
        <v>1075</v>
      </c>
      <c r="D207" s="679">
        <v>0</v>
      </c>
      <c r="E207" s="342" t="s">
        <v>1529</v>
      </c>
      <c r="F207" s="268" t="s">
        <v>1131</v>
      </c>
      <c r="H207" s="335"/>
      <c r="I207" s="868"/>
    </row>
    <row r="208" spans="2:9" s="600" customFormat="1" ht="18" customHeight="1">
      <c r="B208" s="267">
        <f t="shared" si="4"/>
        <v>64</v>
      </c>
      <c r="C208" s="289" t="s">
        <v>1075</v>
      </c>
      <c r="D208" s="679">
        <v>0</v>
      </c>
      <c r="E208" s="342" t="s">
        <v>1538</v>
      </c>
      <c r="F208" s="268" t="s">
        <v>1132</v>
      </c>
      <c r="H208" s="335"/>
      <c r="I208" s="868"/>
    </row>
    <row r="209" spans="2:9" s="600" customFormat="1" ht="18" customHeight="1">
      <c r="B209" s="267">
        <f t="shared" si="4"/>
        <v>65</v>
      </c>
      <c r="C209" s="289" t="s">
        <v>1078</v>
      </c>
      <c r="D209" s="679">
        <v>0</v>
      </c>
      <c r="E209" s="342" t="s">
        <v>1530</v>
      </c>
      <c r="F209" s="268" t="s">
        <v>1133</v>
      </c>
      <c r="H209" s="335"/>
      <c r="I209" s="868"/>
    </row>
    <row r="210" spans="2:9" s="600" customFormat="1" ht="18" customHeight="1">
      <c r="B210" s="267">
        <f t="shared" si="4"/>
        <v>66</v>
      </c>
      <c r="C210" s="289" t="s">
        <v>1078</v>
      </c>
      <c r="D210" s="396">
        <v>0</v>
      </c>
      <c r="E210" s="342" t="s">
        <v>1539</v>
      </c>
      <c r="F210" s="268" t="s">
        <v>1134</v>
      </c>
      <c r="H210" s="335"/>
      <c r="I210" s="868"/>
    </row>
    <row r="211" spans="2:9" s="600" customFormat="1" ht="18" customHeight="1">
      <c r="B211" s="267">
        <f t="shared" ref="B211:B274" si="5">+B210+1</f>
        <v>67</v>
      </c>
      <c r="C211" s="289" t="s">
        <v>1081</v>
      </c>
      <c r="D211" s="396">
        <v>0</v>
      </c>
      <c r="E211" s="342" t="s">
        <v>1531</v>
      </c>
      <c r="F211" s="268" t="s">
        <v>1135</v>
      </c>
      <c r="H211" s="335"/>
      <c r="I211" s="868"/>
    </row>
    <row r="212" spans="2:9" s="600" customFormat="1" ht="18" customHeight="1">
      <c r="B212" s="267">
        <f t="shared" si="5"/>
        <v>68</v>
      </c>
      <c r="C212" s="289" t="s">
        <v>1081</v>
      </c>
      <c r="D212" s="396">
        <v>0</v>
      </c>
      <c r="E212" s="342" t="s">
        <v>1540</v>
      </c>
      <c r="F212" s="268" t="s">
        <v>1136</v>
      </c>
      <c r="H212" s="335"/>
      <c r="I212" s="868"/>
    </row>
    <row r="213" spans="2:9" s="600" customFormat="1" ht="18" customHeight="1">
      <c r="B213" s="267">
        <f t="shared" si="5"/>
        <v>69</v>
      </c>
      <c r="C213" s="289" t="s">
        <v>1084</v>
      </c>
      <c r="D213" s="396">
        <v>0</v>
      </c>
      <c r="E213" s="342" t="s">
        <v>1532</v>
      </c>
      <c r="F213" s="268" t="s">
        <v>1137</v>
      </c>
      <c r="H213" s="335"/>
      <c r="I213" s="868"/>
    </row>
    <row r="214" spans="2:9" s="600" customFormat="1" ht="18" customHeight="1">
      <c r="B214" s="267">
        <f t="shared" si="5"/>
        <v>70</v>
      </c>
      <c r="C214" s="289" t="s">
        <v>1084</v>
      </c>
      <c r="D214" s="396">
        <v>0</v>
      </c>
      <c r="E214" s="342" t="s">
        <v>1577</v>
      </c>
      <c r="F214" s="268" t="s">
        <v>1138</v>
      </c>
      <c r="H214" s="335"/>
      <c r="I214" s="868"/>
    </row>
    <row r="215" spans="2:9" s="600" customFormat="1" ht="18" customHeight="1">
      <c r="B215" s="267">
        <f t="shared" si="5"/>
        <v>71</v>
      </c>
      <c r="C215" s="289" t="s">
        <v>1087</v>
      </c>
      <c r="D215" s="396">
        <v>0</v>
      </c>
      <c r="E215" s="342" t="s">
        <v>1533</v>
      </c>
      <c r="F215" s="268" t="s">
        <v>1139</v>
      </c>
      <c r="H215" s="335"/>
      <c r="I215" s="868"/>
    </row>
    <row r="216" spans="2:9" s="600" customFormat="1" ht="18" customHeight="1">
      <c r="B216" s="267">
        <f t="shared" si="5"/>
        <v>72</v>
      </c>
      <c r="C216" s="289" t="s">
        <v>1087</v>
      </c>
      <c r="D216" s="396">
        <v>0</v>
      </c>
      <c r="E216" s="342" t="s">
        <v>1541</v>
      </c>
      <c r="F216" s="268" t="s">
        <v>1140</v>
      </c>
      <c r="H216" s="335"/>
      <c r="I216" s="868"/>
    </row>
    <row r="217" spans="2:9" s="600" customFormat="1" ht="18" customHeight="1">
      <c r="B217" s="267">
        <f t="shared" si="5"/>
        <v>73</v>
      </c>
      <c r="C217" s="289" t="s">
        <v>1090</v>
      </c>
      <c r="D217" s="396">
        <v>0</v>
      </c>
      <c r="E217" s="342" t="s">
        <v>1534</v>
      </c>
      <c r="F217" s="268" t="s">
        <v>1141</v>
      </c>
      <c r="H217" s="335"/>
      <c r="I217" s="868"/>
    </row>
    <row r="218" spans="2:9" s="600" customFormat="1" ht="18" customHeight="1">
      <c r="B218" s="267">
        <f t="shared" si="5"/>
        <v>74</v>
      </c>
      <c r="C218" s="289" t="s">
        <v>1090</v>
      </c>
      <c r="D218" s="396">
        <v>0</v>
      </c>
      <c r="E218" s="342" t="s">
        <v>1542</v>
      </c>
      <c r="F218" s="268" t="s">
        <v>1142</v>
      </c>
      <c r="H218" s="335"/>
      <c r="I218" s="868"/>
    </row>
    <row r="219" spans="2:9" s="600" customFormat="1" ht="18" customHeight="1">
      <c r="B219" s="267">
        <f t="shared" si="5"/>
        <v>75</v>
      </c>
      <c r="C219" s="289" t="s">
        <v>1093</v>
      </c>
      <c r="D219" s="396">
        <v>0</v>
      </c>
      <c r="E219" s="342" t="s">
        <v>1535</v>
      </c>
      <c r="F219" s="268" t="s">
        <v>1143</v>
      </c>
      <c r="H219" s="335"/>
      <c r="I219" s="868"/>
    </row>
    <row r="220" spans="2:9" s="600" customFormat="1" ht="18" customHeight="1">
      <c r="B220" s="267">
        <f t="shared" si="5"/>
        <v>76</v>
      </c>
      <c r="C220" s="289" t="s">
        <v>1093</v>
      </c>
      <c r="D220" s="396">
        <v>0</v>
      </c>
      <c r="E220" s="342" t="s">
        <v>1543</v>
      </c>
      <c r="F220" s="268" t="s">
        <v>1144</v>
      </c>
      <c r="H220" s="335"/>
      <c r="I220" s="868"/>
    </row>
    <row r="221" spans="2:9" s="600" customFormat="1" ht="18" customHeight="1">
      <c r="B221" s="267">
        <f t="shared" si="5"/>
        <v>77</v>
      </c>
      <c r="C221" s="289" t="s">
        <v>1096</v>
      </c>
      <c r="D221" s="396">
        <v>0</v>
      </c>
      <c r="E221" s="342" t="s">
        <v>1536</v>
      </c>
      <c r="F221" s="268" t="s">
        <v>1145</v>
      </c>
      <c r="H221" s="335"/>
      <c r="I221" s="868"/>
    </row>
    <row r="222" spans="2:9" s="600" customFormat="1" ht="18" customHeight="1">
      <c r="B222" s="267">
        <f t="shared" si="5"/>
        <v>78</v>
      </c>
      <c r="C222" s="289" t="s">
        <v>1096</v>
      </c>
      <c r="D222" s="396">
        <v>0</v>
      </c>
      <c r="E222" s="342" t="s">
        <v>1544</v>
      </c>
      <c r="F222" s="268" t="s">
        <v>1146</v>
      </c>
      <c r="H222" s="335"/>
      <c r="I222" s="868"/>
    </row>
    <row r="223" spans="2:9" s="600" customFormat="1" ht="18" customHeight="1">
      <c r="B223" s="267">
        <f t="shared" si="5"/>
        <v>79</v>
      </c>
      <c r="C223" s="289" t="s">
        <v>1099</v>
      </c>
      <c r="D223" s="396">
        <v>0</v>
      </c>
      <c r="E223" s="342" t="s">
        <v>1537</v>
      </c>
      <c r="F223" s="268" t="s">
        <v>1147</v>
      </c>
      <c r="H223" s="335"/>
      <c r="I223" s="868"/>
    </row>
    <row r="224" spans="2:9" s="600" customFormat="1" ht="18" customHeight="1">
      <c r="B224" s="267">
        <f t="shared" si="5"/>
        <v>80</v>
      </c>
      <c r="C224" s="289" t="s">
        <v>1099</v>
      </c>
      <c r="D224" s="396">
        <v>0</v>
      </c>
      <c r="E224" s="342" t="s">
        <v>1545</v>
      </c>
      <c r="F224" s="268" t="s">
        <v>1148</v>
      </c>
      <c r="H224" s="335"/>
      <c r="I224" s="868"/>
    </row>
    <row r="225" spans="2:9" s="600" customFormat="1" ht="18" customHeight="1">
      <c r="B225" s="267">
        <f t="shared" si="5"/>
        <v>81</v>
      </c>
      <c r="C225" s="289" t="s">
        <v>1102</v>
      </c>
      <c r="D225" s="679">
        <v>1753722</v>
      </c>
      <c r="E225" s="342" t="s">
        <v>1546</v>
      </c>
      <c r="F225" s="268" t="s">
        <v>1149</v>
      </c>
      <c r="H225" s="335"/>
      <c r="I225" s="868"/>
    </row>
    <row r="226" spans="2:9" s="600" customFormat="1" ht="18" customHeight="1">
      <c r="B226" s="267">
        <f t="shared" si="5"/>
        <v>82</v>
      </c>
      <c r="C226" s="289" t="s">
        <v>1102</v>
      </c>
      <c r="D226" s="679">
        <v>1415357</v>
      </c>
      <c r="E226" s="342" t="s">
        <v>1547</v>
      </c>
      <c r="F226" s="268" t="s">
        <v>1150</v>
      </c>
      <c r="H226" s="335"/>
      <c r="I226" s="868"/>
    </row>
    <row r="227" spans="2:9" s="600" customFormat="1" ht="18" customHeight="1">
      <c r="B227" s="267">
        <f t="shared" si="5"/>
        <v>83</v>
      </c>
      <c r="C227" s="289" t="s">
        <v>1151</v>
      </c>
      <c r="D227" s="679">
        <v>-13207310</v>
      </c>
      <c r="E227" s="342" t="s">
        <v>1578</v>
      </c>
      <c r="F227" s="268" t="s">
        <v>1152</v>
      </c>
      <c r="H227" s="335"/>
      <c r="I227" s="868"/>
    </row>
    <row r="228" spans="2:9" s="600" customFormat="1" ht="18" customHeight="1">
      <c r="B228" s="267">
        <f t="shared" si="5"/>
        <v>84</v>
      </c>
      <c r="C228" s="289" t="s">
        <v>1151</v>
      </c>
      <c r="D228" s="679">
        <v>-12617212</v>
      </c>
      <c r="E228" s="342" t="s">
        <v>1579</v>
      </c>
      <c r="F228" s="268" t="s">
        <v>1153</v>
      </c>
      <c r="H228" s="335"/>
      <c r="I228" s="868"/>
    </row>
    <row r="229" spans="2:9" s="600" customFormat="1" ht="18" customHeight="1">
      <c r="B229" s="267">
        <f t="shared" si="5"/>
        <v>85</v>
      </c>
      <c r="C229" s="289" t="s">
        <v>1072</v>
      </c>
      <c r="D229" s="679">
        <v>644161</v>
      </c>
      <c r="E229" s="342" t="s">
        <v>1580</v>
      </c>
      <c r="F229" s="268" t="s">
        <v>1154</v>
      </c>
      <c r="H229" s="335"/>
      <c r="I229" s="868"/>
    </row>
    <row r="230" spans="2:9" s="600" customFormat="1" ht="18" customHeight="1">
      <c r="B230" s="267">
        <f t="shared" si="5"/>
        <v>86</v>
      </c>
      <c r="C230" s="289" t="s">
        <v>1072</v>
      </c>
      <c r="D230" s="679">
        <v>725178</v>
      </c>
      <c r="E230" s="342" t="s">
        <v>1581</v>
      </c>
      <c r="F230" s="268" t="s">
        <v>1155</v>
      </c>
      <c r="H230" s="335"/>
      <c r="I230" s="868"/>
    </row>
    <row r="231" spans="2:9" s="600" customFormat="1" ht="18" customHeight="1" thickBot="1">
      <c r="B231" s="766">
        <f t="shared" si="5"/>
        <v>87</v>
      </c>
      <c r="C231" s="420" t="s">
        <v>1111</v>
      </c>
      <c r="D231" s="679">
        <v>-12071806</v>
      </c>
      <c r="E231" s="877" t="s">
        <v>1601</v>
      </c>
      <c r="F231" s="767" t="s">
        <v>1156</v>
      </c>
      <c r="H231" s="335"/>
      <c r="I231" s="868"/>
    </row>
    <row r="232" spans="2:9" s="600" customFormat="1" ht="18" customHeight="1">
      <c r="D232" s="613" t="s">
        <v>505</v>
      </c>
      <c r="H232" s="335"/>
      <c r="I232" s="868"/>
    </row>
    <row r="233" spans="2:9" s="600" customFormat="1" ht="18" customHeight="1">
      <c r="D233" s="613" t="s">
        <v>1157</v>
      </c>
      <c r="H233" s="335"/>
      <c r="I233" s="868"/>
    </row>
    <row r="234" spans="2:9" s="600" customFormat="1" ht="18" customHeight="1">
      <c r="B234" s="267">
        <f>+B231+1</f>
        <v>88</v>
      </c>
      <c r="C234" s="289" t="s">
        <v>1111</v>
      </c>
      <c r="D234" s="679">
        <v>-11606963</v>
      </c>
      <c r="E234" s="342" t="s">
        <v>1602</v>
      </c>
      <c r="F234" s="268" t="s">
        <v>1158</v>
      </c>
      <c r="H234" s="335"/>
      <c r="I234" s="868"/>
    </row>
    <row r="235" spans="2:9" s="600" customFormat="1" ht="18" customHeight="1">
      <c r="B235" s="267">
        <f t="shared" si="5"/>
        <v>89</v>
      </c>
      <c r="C235" s="289" t="s">
        <v>1114</v>
      </c>
      <c r="D235" s="679">
        <v>-3151528</v>
      </c>
      <c r="E235" s="342" t="s">
        <v>1610</v>
      </c>
      <c r="F235" s="268" t="s">
        <v>1159</v>
      </c>
      <c r="H235" s="906"/>
      <c r="I235" s="868"/>
    </row>
    <row r="236" spans="2:9" s="600" customFormat="1" ht="18" customHeight="1">
      <c r="B236" s="267">
        <f t="shared" si="5"/>
        <v>90</v>
      </c>
      <c r="C236" s="289" t="s">
        <v>1114</v>
      </c>
      <c r="D236" s="679">
        <f>-1155912-1874314</f>
        <v>-3030226</v>
      </c>
      <c r="E236" s="342" t="s">
        <v>1609</v>
      </c>
      <c r="F236" s="268" t="s">
        <v>1160</v>
      </c>
      <c r="H236" s="906"/>
      <c r="I236" s="868"/>
    </row>
    <row r="237" spans="2:9" s="600" customFormat="1" ht="18" customHeight="1">
      <c r="B237" s="267">
        <f t="shared" si="5"/>
        <v>91</v>
      </c>
      <c r="C237" s="289" t="s">
        <v>1117</v>
      </c>
      <c r="D237" s="679">
        <v>0</v>
      </c>
      <c r="E237" s="342" t="s">
        <v>1603</v>
      </c>
      <c r="F237" s="268" t="s">
        <v>1161</v>
      </c>
      <c r="H237" s="335"/>
      <c r="I237" s="868"/>
    </row>
    <row r="238" spans="2:9" s="600" customFormat="1" ht="18" customHeight="1">
      <c r="B238" s="267">
        <f t="shared" si="5"/>
        <v>92</v>
      </c>
      <c r="C238" s="289" t="s">
        <v>1117</v>
      </c>
      <c r="D238" s="679">
        <v>0</v>
      </c>
      <c r="E238" s="342" t="s">
        <v>1604</v>
      </c>
      <c r="F238" s="268" t="s">
        <v>1162</v>
      </c>
      <c r="H238" s="335"/>
      <c r="I238" s="868"/>
    </row>
    <row r="239" spans="2:9" s="600" customFormat="1" ht="18" customHeight="1">
      <c r="B239" s="267">
        <f t="shared" si="5"/>
        <v>93</v>
      </c>
      <c r="C239" s="289" t="s">
        <v>1120</v>
      </c>
      <c r="D239" s="679">
        <v>-237232</v>
      </c>
      <c r="E239" s="342" t="s">
        <v>1600</v>
      </c>
      <c r="F239" s="268" t="s">
        <v>1163</v>
      </c>
      <c r="H239" s="335"/>
      <c r="I239" s="868"/>
    </row>
    <row r="240" spans="2:9" s="600" customFormat="1" ht="18" customHeight="1">
      <c r="B240" s="267">
        <f t="shared" si="5"/>
        <v>94</v>
      </c>
      <c r="C240" s="289" t="s">
        <v>1120</v>
      </c>
      <c r="D240" s="679">
        <v>-221417</v>
      </c>
      <c r="E240" s="342" t="s">
        <v>1599</v>
      </c>
      <c r="F240" s="268" t="s">
        <v>1164</v>
      </c>
      <c r="H240" s="335"/>
      <c r="I240" s="868"/>
    </row>
    <row r="241" spans="2:9" s="600" customFormat="1" ht="18" customHeight="1">
      <c r="B241" s="267">
        <f t="shared" si="5"/>
        <v>95</v>
      </c>
      <c r="C241" s="289" t="s">
        <v>1451</v>
      </c>
      <c r="D241" s="679">
        <v>5197920</v>
      </c>
      <c r="E241" s="342" t="s">
        <v>1582</v>
      </c>
      <c r="F241" s="268" t="s">
        <v>1165</v>
      </c>
      <c r="H241" s="335"/>
      <c r="I241" s="868"/>
    </row>
    <row r="242" spans="2:9" s="600" customFormat="1" ht="18" customHeight="1">
      <c r="B242" s="267">
        <f t="shared" si="5"/>
        <v>96</v>
      </c>
      <c r="C242" s="289" t="s">
        <v>1452</v>
      </c>
      <c r="D242" s="679">
        <v>4726930</v>
      </c>
      <c r="E242" s="342" t="s">
        <v>1583</v>
      </c>
      <c r="F242" s="268" t="s">
        <v>1166</v>
      </c>
      <c r="H242" s="335"/>
      <c r="I242" s="868"/>
    </row>
    <row r="243" spans="2:9" s="600" customFormat="1" ht="18" customHeight="1">
      <c r="B243" s="267">
        <f t="shared" si="5"/>
        <v>97</v>
      </c>
      <c r="C243" s="289" t="s">
        <v>1453</v>
      </c>
      <c r="D243" s="679">
        <v>-28023715</v>
      </c>
      <c r="E243" s="342" t="s">
        <v>1613</v>
      </c>
      <c r="F243" s="268" t="s">
        <v>1167</v>
      </c>
      <c r="H243" s="906"/>
      <c r="I243" s="868"/>
    </row>
    <row r="244" spans="2:9" s="600" customFormat="1" ht="18" customHeight="1">
      <c r="B244" s="267">
        <f t="shared" si="5"/>
        <v>98</v>
      </c>
      <c r="C244" s="289" t="s">
        <v>1454</v>
      </c>
      <c r="D244" s="679">
        <f>-13269363-13481277</f>
        <v>-26750640</v>
      </c>
      <c r="E244" s="342" t="s">
        <v>1614</v>
      </c>
      <c r="F244" s="268" t="s">
        <v>1168</v>
      </c>
      <c r="H244" s="906"/>
      <c r="I244" s="868"/>
    </row>
    <row r="245" spans="2:9" s="600" customFormat="1" ht="18" customHeight="1">
      <c r="B245" s="267">
        <f t="shared" si="5"/>
        <v>99</v>
      </c>
      <c r="C245" s="289" t="s">
        <v>1169</v>
      </c>
      <c r="D245" s="679">
        <v>1381725</v>
      </c>
      <c r="E245" s="342" t="s">
        <v>1584</v>
      </c>
      <c r="F245" s="268" t="s">
        <v>1170</v>
      </c>
      <c r="H245" s="335"/>
      <c r="I245" s="868"/>
    </row>
    <row r="246" spans="2:9" s="600" customFormat="1" ht="18" customHeight="1">
      <c r="B246" s="267">
        <f t="shared" si="5"/>
        <v>100</v>
      </c>
      <c r="C246" s="289" t="s">
        <v>1169</v>
      </c>
      <c r="D246" s="679">
        <v>1256524</v>
      </c>
      <c r="E246" s="342" t="s">
        <v>1585</v>
      </c>
      <c r="F246" s="268" t="s">
        <v>1171</v>
      </c>
      <c r="H246" s="335"/>
      <c r="I246" s="868"/>
    </row>
    <row r="247" spans="2:9" s="600" customFormat="1" ht="18" customHeight="1">
      <c r="B247" s="267">
        <f t="shared" si="5"/>
        <v>101</v>
      </c>
      <c r="C247" s="289" t="s">
        <v>1451</v>
      </c>
      <c r="D247" s="679">
        <v>6579645</v>
      </c>
      <c r="E247" s="342" t="s">
        <v>1586</v>
      </c>
      <c r="F247" s="268" t="s">
        <v>1172</v>
      </c>
      <c r="H247" s="335"/>
      <c r="I247" s="868"/>
    </row>
    <row r="248" spans="2:9" s="600" customFormat="1" ht="18" customHeight="1">
      <c r="B248" s="267">
        <f t="shared" si="5"/>
        <v>102</v>
      </c>
      <c r="C248" s="289" t="s">
        <v>1452</v>
      </c>
      <c r="D248" s="679">
        <v>5983454</v>
      </c>
      <c r="E248" s="342" t="s">
        <v>1587</v>
      </c>
      <c r="F248" s="268" t="s">
        <v>1173</v>
      </c>
      <c r="H248" s="335"/>
      <c r="I248" s="868"/>
    </row>
    <row r="249" spans="2:9" s="600" customFormat="1" ht="18" customHeight="1">
      <c r="B249" s="267">
        <f t="shared" si="5"/>
        <v>103</v>
      </c>
      <c r="C249" s="289" t="s">
        <v>1174</v>
      </c>
      <c r="D249" s="679">
        <v>-7449341</v>
      </c>
      <c r="E249" s="342" t="s">
        <v>1605</v>
      </c>
      <c r="F249" s="268" t="s">
        <v>1175</v>
      </c>
      <c r="H249" s="906"/>
      <c r="I249" s="868"/>
    </row>
    <row r="250" spans="2:9" s="600" customFormat="1" ht="18" customHeight="1">
      <c r="B250" s="267">
        <f t="shared" si="5"/>
        <v>104</v>
      </c>
      <c r="C250" s="289" t="s">
        <v>1174</v>
      </c>
      <c r="D250" s="679">
        <f>-3527299-3583631</f>
        <v>-7110930</v>
      </c>
      <c r="E250" s="342" t="s">
        <v>1606</v>
      </c>
      <c r="F250" s="268" t="s">
        <v>1176</v>
      </c>
      <c r="H250" s="906"/>
      <c r="I250" s="868"/>
    </row>
    <row r="251" spans="2:9" s="600" customFormat="1" ht="18" customHeight="1">
      <c r="B251" s="267">
        <f t="shared" si="5"/>
        <v>105</v>
      </c>
      <c r="C251" s="289" t="s">
        <v>1453</v>
      </c>
      <c r="D251" s="679">
        <v>-35473056</v>
      </c>
      <c r="E251" s="342" t="s">
        <v>1607</v>
      </c>
      <c r="F251" s="268" t="s">
        <v>1177</v>
      </c>
      <c r="H251" s="906"/>
      <c r="I251" s="868"/>
    </row>
    <row r="252" spans="2:9" s="600" customFormat="1" ht="18" customHeight="1">
      <c r="B252" s="267">
        <f t="shared" si="5"/>
        <v>106</v>
      </c>
      <c r="C252" s="289" t="s">
        <v>1454</v>
      </c>
      <c r="D252" s="679">
        <f>-16796662-17064908</f>
        <v>-33861570</v>
      </c>
      <c r="E252" s="342" t="s">
        <v>1608</v>
      </c>
      <c r="F252" s="268" t="s">
        <v>1178</v>
      </c>
      <c r="H252" s="906"/>
      <c r="I252" s="868"/>
    </row>
    <row r="253" spans="2:9" s="600" customFormat="1" ht="18" customHeight="1">
      <c r="B253" s="267">
        <f t="shared" si="5"/>
        <v>107</v>
      </c>
      <c r="C253" s="289" t="s">
        <v>1455</v>
      </c>
      <c r="D253" s="679">
        <v>470990</v>
      </c>
      <c r="E253" s="342" t="s">
        <v>1593</v>
      </c>
      <c r="F253" s="268" t="s">
        <v>1179</v>
      </c>
      <c r="H253" s="906"/>
      <c r="I253" s="868"/>
    </row>
    <row r="254" spans="2:9" s="600" customFormat="1" ht="18" customHeight="1">
      <c r="B254" s="267">
        <f t="shared" si="5"/>
        <v>108</v>
      </c>
      <c r="C254" s="289" t="s">
        <v>1456</v>
      </c>
      <c r="D254" s="679">
        <v>-1273075</v>
      </c>
      <c r="E254" s="342" t="s">
        <v>1594</v>
      </c>
      <c r="F254" s="268" t="s">
        <v>1180</v>
      </c>
      <c r="H254" s="906"/>
      <c r="I254" s="868"/>
    </row>
    <row r="255" spans="2:9" s="600" customFormat="1" ht="18" customHeight="1">
      <c r="B255" s="267">
        <f t="shared" si="5"/>
        <v>109</v>
      </c>
      <c r="C255" s="289" t="s">
        <v>1455</v>
      </c>
      <c r="D255" s="679">
        <v>470990</v>
      </c>
      <c r="E255" s="342" t="s">
        <v>1593</v>
      </c>
      <c r="F255" s="268" t="s">
        <v>1181</v>
      </c>
      <c r="H255" s="906"/>
      <c r="I255" s="868"/>
    </row>
    <row r="256" spans="2:9" s="600" customFormat="1" ht="18" customHeight="1">
      <c r="B256" s="267">
        <f t="shared" si="5"/>
        <v>110</v>
      </c>
      <c r="C256" s="289" t="s">
        <v>1456</v>
      </c>
      <c r="D256" s="679">
        <v>-1273075</v>
      </c>
      <c r="E256" s="342" t="s">
        <v>1594</v>
      </c>
      <c r="F256" s="268" t="s">
        <v>1182</v>
      </c>
      <c r="H256" s="906"/>
      <c r="I256" s="868"/>
    </row>
    <row r="257" spans="2:8" s="600" customFormat="1" ht="18" customHeight="1">
      <c r="B257" s="267">
        <f t="shared" si="5"/>
        <v>111</v>
      </c>
      <c r="C257" s="289" t="s">
        <v>1069</v>
      </c>
      <c r="D257" s="679"/>
      <c r="E257" s="760" t="s">
        <v>1183</v>
      </c>
      <c r="F257" s="268" t="s">
        <v>1184</v>
      </c>
      <c r="H257" s="335"/>
    </row>
    <row r="258" spans="2:8" s="600" customFormat="1" ht="18" customHeight="1">
      <c r="B258" s="267">
        <f t="shared" si="5"/>
        <v>112</v>
      </c>
      <c r="C258" s="289" t="s">
        <v>1072</v>
      </c>
      <c r="D258" s="679"/>
      <c r="E258" s="760" t="s">
        <v>1183</v>
      </c>
      <c r="F258" s="268" t="s">
        <v>1185</v>
      </c>
      <c r="H258" s="335"/>
    </row>
    <row r="259" spans="2:8" s="600" customFormat="1" ht="18" customHeight="1">
      <c r="B259" s="267">
        <f t="shared" si="5"/>
        <v>113</v>
      </c>
      <c r="C259" s="289" t="s">
        <v>1075</v>
      </c>
      <c r="D259" s="679"/>
      <c r="E259" s="760" t="s">
        <v>1183</v>
      </c>
      <c r="F259" s="268" t="s">
        <v>1186</v>
      </c>
      <c r="H259" s="335"/>
    </row>
    <row r="260" spans="2:8" s="600" customFormat="1" ht="18" customHeight="1">
      <c r="B260" s="267">
        <f t="shared" si="5"/>
        <v>114</v>
      </c>
      <c r="C260" s="289" t="s">
        <v>1078</v>
      </c>
      <c r="D260" s="679"/>
      <c r="E260" s="760" t="s">
        <v>1183</v>
      </c>
      <c r="F260" s="268" t="s">
        <v>1187</v>
      </c>
      <c r="H260" s="335"/>
    </row>
    <row r="261" spans="2:8" s="600" customFormat="1" ht="18" customHeight="1">
      <c r="B261" s="267">
        <f t="shared" si="5"/>
        <v>115</v>
      </c>
      <c r="C261" s="289" t="s">
        <v>1081</v>
      </c>
      <c r="D261" s="679"/>
      <c r="E261" s="760" t="s">
        <v>1183</v>
      </c>
      <c r="F261" s="268" t="s">
        <v>1188</v>
      </c>
      <c r="H261" s="335"/>
    </row>
    <row r="262" spans="2:8" s="600" customFormat="1" ht="18" customHeight="1">
      <c r="B262" s="267">
        <f t="shared" si="5"/>
        <v>116</v>
      </c>
      <c r="C262" s="289" t="s">
        <v>1084</v>
      </c>
      <c r="D262" s="679"/>
      <c r="E262" s="760" t="s">
        <v>1183</v>
      </c>
      <c r="F262" s="268" t="s">
        <v>1189</v>
      </c>
      <c r="H262" s="335"/>
    </row>
    <row r="263" spans="2:8" s="600" customFormat="1" ht="18" customHeight="1">
      <c r="B263" s="267">
        <f t="shared" si="5"/>
        <v>117</v>
      </c>
      <c r="C263" s="289" t="s">
        <v>1087</v>
      </c>
      <c r="D263" s="679"/>
      <c r="E263" s="760" t="s">
        <v>1183</v>
      </c>
      <c r="F263" s="268" t="s">
        <v>1190</v>
      </c>
      <c r="H263" s="335"/>
    </row>
    <row r="264" spans="2:8" s="600" customFormat="1" ht="18" customHeight="1">
      <c r="B264" s="267">
        <f t="shared" si="5"/>
        <v>118</v>
      </c>
      <c r="C264" s="289" t="s">
        <v>1090</v>
      </c>
      <c r="D264" s="679"/>
      <c r="E264" s="760" t="s">
        <v>1183</v>
      </c>
      <c r="F264" s="268" t="s">
        <v>1191</v>
      </c>
      <c r="H264" s="335"/>
    </row>
    <row r="265" spans="2:8" s="600" customFormat="1" ht="18" customHeight="1">
      <c r="B265" s="267">
        <f t="shared" si="5"/>
        <v>119</v>
      </c>
      <c r="C265" s="289" t="s">
        <v>1093</v>
      </c>
      <c r="D265" s="679"/>
      <c r="E265" s="760" t="s">
        <v>1183</v>
      </c>
      <c r="F265" s="268" t="s">
        <v>1192</v>
      </c>
      <c r="H265" s="335"/>
    </row>
    <row r="266" spans="2:8" s="600" customFormat="1" ht="18" customHeight="1">
      <c r="B266" s="267">
        <f t="shared" si="5"/>
        <v>120</v>
      </c>
      <c r="C266" s="289" t="s">
        <v>1096</v>
      </c>
      <c r="D266" s="396"/>
      <c r="E266" s="760" t="s">
        <v>1183</v>
      </c>
      <c r="F266" s="268" t="s">
        <v>1193</v>
      </c>
      <c r="H266" s="335"/>
    </row>
    <row r="267" spans="2:8" s="600" customFormat="1" ht="18" customHeight="1">
      <c r="B267" s="267">
        <f t="shared" si="5"/>
        <v>121</v>
      </c>
      <c r="C267" s="289" t="s">
        <v>1099</v>
      </c>
      <c r="D267" s="396"/>
      <c r="E267" s="760" t="s">
        <v>1183</v>
      </c>
      <c r="F267" s="268" t="s">
        <v>1194</v>
      </c>
      <c r="H267" s="335"/>
    </row>
    <row r="268" spans="2:8" s="600" customFormat="1" ht="18" customHeight="1">
      <c r="B268" s="267">
        <f t="shared" si="5"/>
        <v>122</v>
      </c>
      <c r="C268" s="289" t="s">
        <v>1102</v>
      </c>
      <c r="D268" s="396"/>
      <c r="E268" s="760" t="s">
        <v>1183</v>
      </c>
      <c r="F268" s="268" t="s">
        <v>1195</v>
      </c>
      <c r="H268" s="335"/>
    </row>
    <row r="269" spans="2:8" s="600" customFormat="1" ht="18" customHeight="1">
      <c r="B269" s="267">
        <f t="shared" si="5"/>
        <v>123</v>
      </c>
      <c r="C269" s="289" t="s">
        <v>1105</v>
      </c>
      <c r="D269" s="396"/>
      <c r="E269" s="760" t="s">
        <v>1183</v>
      </c>
      <c r="F269" s="268" t="s">
        <v>1196</v>
      </c>
      <c r="H269" s="335"/>
    </row>
    <row r="270" spans="2:8" s="600" customFormat="1" ht="18" customHeight="1">
      <c r="B270" s="267">
        <f t="shared" si="5"/>
        <v>124</v>
      </c>
      <c r="C270" s="289" t="s">
        <v>1108</v>
      </c>
      <c r="D270" s="396"/>
      <c r="E270" s="760" t="s">
        <v>1183</v>
      </c>
      <c r="F270" s="268" t="s">
        <v>1197</v>
      </c>
      <c r="H270" s="335"/>
    </row>
    <row r="271" spans="2:8" s="600" customFormat="1" ht="18" customHeight="1">
      <c r="B271" s="267">
        <f t="shared" si="5"/>
        <v>125</v>
      </c>
      <c r="C271" s="289" t="s">
        <v>1111</v>
      </c>
      <c r="D271" s="396"/>
      <c r="E271" s="760" t="s">
        <v>1183</v>
      </c>
      <c r="F271" s="268" t="s">
        <v>1198</v>
      </c>
      <c r="H271" s="335"/>
    </row>
    <row r="272" spans="2:8" s="600" customFormat="1" ht="18" customHeight="1">
      <c r="B272" s="267">
        <f t="shared" si="5"/>
        <v>126</v>
      </c>
      <c r="C272" s="289" t="s">
        <v>1114</v>
      </c>
      <c r="D272" s="396"/>
      <c r="E272" s="760" t="s">
        <v>1183</v>
      </c>
      <c r="F272" s="268" t="s">
        <v>1199</v>
      </c>
      <c r="H272" s="335"/>
    </row>
    <row r="273" spans="2:8" s="600" customFormat="1" ht="18" customHeight="1">
      <c r="B273" s="267">
        <f t="shared" si="5"/>
        <v>127</v>
      </c>
      <c r="C273" s="289" t="s">
        <v>1117</v>
      </c>
      <c r="D273" s="396"/>
      <c r="E273" s="760" t="s">
        <v>1183</v>
      </c>
      <c r="F273" s="268" t="s">
        <v>1200</v>
      </c>
      <c r="H273" s="335"/>
    </row>
    <row r="274" spans="2:8" s="600" customFormat="1" ht="18" customHeight="1">
      <c r="B274" s="267">
        <f t="shared" si="5"/>
        <v>128</v>
      </c>
      <c r="C274" s="289" t="s">
        <v>1120</v>
      </c>
      <c r="D274" s="396"/>
      <c r="E274" s="760" t="s">
        <v>1183</v>
      </c>
      <c r="F274" s="268" t="s">
        <v>1201</v>
      </c>
      <c r="H274" s="335"/>
    </row>
    <row r="275" spans="2:8" s="600" customFormat="1" ht="18" customHeight="1">
      <c r="B275" s="267">
        <f t="shared" ref="B275:B325" si="6">+B274+1</f>
        <v>129</v>
      </c>
      <c r="C275" s="289" t="s">
        <v>1449</v>
      </c>
      <c r="D275" s="396"/>
      <c r="E275" s="760" t="s">
        <v>1183</v>
      </c>
      <c r="F275" s="268" t="s">
        <v>1202</v>
      </c>
      <c r="H275" s="335"/>
    </row>
    <row r="276" spans="2:8" s="600" customFormat="1" ht="18" customHeight="1">
      <c r="B276" s="267">
        <f t="shared" si="6"/>
        <v>130</v>
      </c>
      <c r="C276" s="289" t="s">
        <v>1450</v>
      </c>
      <c r="D276" s="396"/>
      <c r="E276" s="760" t="s">
        <v>1183</v>
      </c>
      <c r="F276" s="268" t="s">
        <v>1203</v>
      </c>
      <c r="H276" s="335"/>
    </row>
    <row r="277" spans="2:8" s="600" customFormat="1" ht="18" customHeight="1">
      <c r="B277" s="267">
        <f t="shared" si="6"/>
        <v>131</v>
      </c>
      <c r="C277" s="289" t="s">
        <v>1069</v>
      </c>
      <c r="D277" s="396"/>
      <c r="E277" s="760" t="s">
        <v>1183</v>
      </c>
      <c r="F277" s="268" t="s">
        <v>1204</v>
      </c>
      <c r="H277" s="335"/>
    </row>
    <row r="278" spans="2:8" s="600" customFormat="1" ht="18" customHeight="1">
      <c r="B278" s="267">
        <f t="shared" si="6"/>
        <v>132</v>
      </c>
      <c r="C278" s="289" t="s">
        <v>1069</v>
      </c>
      <c r="D278" s="396"/>
      <c r="E278" s="760" t="s">
        <v>1183</v>
      </c>
      <c r="F278" s="268" t="s">
        <v>1205</v>
      </c>
      <c r="H278" s="335"/>
    </row>
    <row r="279" spans="2:8" s="600" customFormat="1" ht="18" customHeight="1">
      <c r="B279" s="267">
        <f t="shared" si="6"/>
        <v>133</v>
      </c>
      <c r="C279" s="289" t="s">
        <v>1072</v>
      </c>
      <c r="D279" s="396"/>
      <c r="E279" s="760" t="s">
        <v>1183</v>
      </c>
      <c r="F279" s="268" t="s">
        <v>1206</v>
      </c>
      <c r="H279" s="335"/>
    </row>
    <row r="280" spans="2:8" s="600" customFormat="1" ht="18" customHeight="1">
      <c r="B280" s="267">
        <f t="shared" si="6"/>
        <v>134</v>
      </c>
      <c r="C280" s="289" t="s">
        <v>1072</v>
      </c>
      <c r="D280" s="396"/>
      <c r="E280" s="760" t="s">
        <v>1183</v>
      </c>
      <c r="F280" s="268" t="s">
        <v>1207</v>
      </c>
      <c r="H280" s="335"/>
    </row>
    <row r="281" spans="2:8" s="600" customFormat="1" ht="18" customHeight="1">
      <c r="B281" s="267">
        <f t="shared" si="6"/>
        <v>135</v>
      </c>
      <c r="C281" s="289" t="s">
        <v>1075</v>
      </c>
      <c r="D281" s="396"/>
      <c r="E281" s="760" t="s">
        <v>1183</v>
      </c>
      <c r="F281" s="268" t="s">
        <v>1208</v>
      </c>
      <c r="H281" s="335"/>
    </row>
    <row r="282" spans="2:8" s="600" customFormat="1" ht="18" customHeight="1">
      <c r="B282" s="267">
        <f t="shared" si="6"/>
        <v>136</v>
      </c>
      <c r="C282" s="289" t="s">
        <v>1075</v>
      </c>
      <c r="D282" s="396"/>
      <c r="E282" s="760" t="s">
        <v>1183</v>
      </c>
      <c r="F282" s="268" t="s">
        <v>1209</v>
      </c>
      <c r="H282" s="335"/>
    </row>
    <row r="283" spans="2:8" s="600" customFormat="1" ht="18" customHeight="1">
      <c r="B283" s="267">
        <f t="shared" si="6"/>
        <v>137</v>
      </c>
      <c r="C283" s="289" t="s">
        <v>1078</v>
      </c>
      <c r="D283" s="396"/>
      <c r="E283" s="760" t="s">
        <v>1183</v>
      </c>
      <c r="F283" s="268" t="s">
        <v>1210</v>
      </c>
      <c r="H283" s="335"/>
    </row>
    <row r="284" spans="2:8" s="600" customFormat="1" ht="18" customHeight="1">
      <c r="B284" s="267">
        <f t="shared" si="6"/>
        <v>138</v>
      </c>
      <c r="C284" s="289" t="s">
        <v>1078</v>
      </c>
      <c r="D284" s="396"/>
      <c r="E284" s="760" t="s">
        <v>1183</v>
      </c>
      <c r="F284" s="268" t="s">
        <v>1211</v>
      </c>
      <c r="H284" s="335"/>
    </row>
    <row r="285" spans="2:8" s="600" customFormat="1" ht="18" customHeight="1">
      <c r="B285" s="267">
        <f t="shared" si="6"/>
        <v>139</v>
      </c>
      <c r="C285" s="289" t="s">
        <v>1081</v>
      </c>
      <c r="D285" s="396"/>
      <c r="E285" s="760" t="s">
        <v>1183</v>
      </c>
      <c r="F285" s="268" t="s">
        <v>1212</v>
      </c>
      <c r="H285" s="335"/>
    </row>
    <row r="286" spans="2:8" s="600" customFormat="1" ht="18" customHeight="1">
      <c r="B286" s="267">
        <f t="shared" si="6"/>
        <v>140</v>
      </c>
      <c r="C286" s="289" t="s">
        <v>1081</v>
      </c>
      <c r="D286" s="396"/>
      <c r="E286" s="760" t="s">
        <v>1183</v>
      </c>
      <c r="F286" s="268" t="s">
        <v>1213</v>
      </c>
      <c r="H286" s="335"/>
    </row>
    <row r="287" spans="2:8" s="600" customFormat="1" ht="18" customHeight="1">
      <c r="B287" s="267">
        <f t="shared" si="6"/>
        <v>141</v>
      </c>
      <c r="C287" s="289" t="s">
        <v>1084</v>
      </c>
      <c r="D287" s="396"/>
      <c r="E287" s="760" t="s">
        <v>1183</v>
      </c>
      <c r="F287" s="268" t="s">
        <v>1214</v>
      </c>
      <c r="H287" s="335"/>
    </row>
    <row r="288" spans="2:8" s="600" customFormat="1" ht="18" customHeight="1">
      <c r="B288" s="267">
        <f t="shared" si="6"/>
        <v>142</v>
      </c>
      <c r="C288" s="289" t="s">
        <v>1084</v>
      </c>
      <c r="D288" s="396"/>
      <c r="E288" s="760" t="s">
        <v>1183</v>
      </c>
      <c r="F288" s="268" t="s">
        <v>1215</v>
      </c>
      <c r="H288" s="335"/>
    </row>
    <row r="289" spans="2:8" s="600" customFormat="1" ht="18" customHeight="1">
      <c r="B289" s="267">
        <f t="shared" si="6"/>
        <v>143</v>
      </c>
      <c r="C289" s="289" t="s">
        <v>1087</v>
      </c>
      <c r="D289" s="396"/>
      <c r="E289" s="760" t="s">
        <v>1183</v>
      </c>
      <c r="F289" s="268" t="s">
        <v>1216</v>
      </c>
      <c r="H289" s="335"/>
    </row>
    <row r="290" spans="2:8" s="600" customFormat="1" ht="18" customHeight="1">
      <c r="B290" s="267">
        <f t="shared" si="6"/>
        <v>144</v>
      </c>
      <c r="C290" s="289" t="s">
        <v>1087</v>
      </c>
      <c r="D290" s="396"/>
      <c r="E290" s="760" t="s">
        <v>1183</v>
      </c>
      <c r="F290" s="268" t="s">
        <v>1217</v>
      </c>
      <c r="H290" s="335"/>
    </row>
    <row r="291" spans="2:8" s="600" customFormat="1" ht="18" customHeight="1">
      <c r="B291" s="267">
        <f t="shared" si="6"/>
        <v>145</v>
      </c>
      <c r="C291" s="289" t="s">
        <v>1090</v>
      </c>
      <c r="D291" s="396"/>
      <c r="E291" s="760" t="s">
        <v>1183</v>
      </c>
      <c r="F291" s="268" t="s">
        <v>1218</v>
      </c>
      <c r="H291" s="335"/>
    </row>
    <row r="292" spans="2:8" s="600" customFormat="1" ht="18" customHeight="1">
      <c r="B292" s="267">
        <f t="shared" si="6"/>
        <v>146</v>
      </c>
      <c r="C292" s="289" t="s">
        <v>1090</v>
      </c>
      <c r="D292" s="396"/>
      <c r="E292" s="760" t="s">
        <v>1183</v>
      </c>
      <c r="F292" s="268" t="s">
        <v>1219</v>
      </c>
      <c r="H292" s="335"/>
    </row>
    <row r="293" spans="2:8" s="600" customFormat="1" ht="18" customHeight="1">
      <c r="B293" s="267">
        <f t="shared" si="6"/>
        <v>147</v>
      </c>
      <c r="C293" s="289" t="s">
        <v>1093</v>
      </c>
      <c r="D293" s="396"/>
      <c r="E293" s="760" t="s">
        <v>1183</v>
      </c>
      <c r="F293" s="268" t="s">
        <v>1220</v>
      </c>
      <c r="H293" s="335"/>
    </row>
    <row r="294" spans="2:8" s="600" customFormat="1" ht="18" customHeight="1">
      <c r="B294" s="267">
        <f t="shared" si="6"/>
        <v>148</v>
      </c>
      <c r="C294" s="289" t="s">
        <v>1093</v>
      </c>
      <c r="D294" s="396"/>
      <c r="E294" s="760" t="s">
        <v>1183</v>
      </c>
      <c r="F294" s="268" t="s">
        <v>1221</v>
      </c>
      <c r="H294" s="335"/>
    </row>
    <row r="295" spans="2:8" s="600" customFormat="1" ht="18" customHeight="1">
      <c r="B295" s="267">
        <f t="shared" si="6"/>
        <v>149</v>
      </c>
      <c r="C295" s="289" t="s">
        <v>1096</v>
      </c>
      <c r="D295" s="396"/>
      <c r="E295" s="760" t="s">
        <v>1183</v>
      </c>
      <c r="F295" s="268" t="s">
        <v>1222</v>
      </c>
      <c r="H295" s="335"/>
    </row>
    <row r="296" spans="2:8" s="600" customFormat="1" ht="18" customHeight="1">
      <c r="B296" s="267">
        <f t="shared" si="6"/>
        <v>150</v>
      </c>
      <c r="C296" s="289" t="s">
        <v>1096</v>
      </c>
      <c r="D296" s="396"/>
      <c r="E296" s="760" t="s">
        <v>1183</v>
      </c>
      <c r="F296" s="268" t="s">
        <v>1223</v>
      </c>
      <c r="H296" s="335"/>
    </row>
    <row r="297" spans="2:8" s="600" customFormat="1" ht="18" customHeight="1">
      <c r="B297" s="267">
        <f t="shared" si="6"/>
        <v>151</v>
      </c>
      <c r="C297" s="289" t="s">
        <v>1099</v>
      </c>
      <c r="D297" s="396"/>
      <c r="E297" s="760" t="s">
        <v>1183</v>
      </c>
      <c r="F297" s="268" t="s">
        <v>1224</v>
      </c>
      <c r="H297" s="335"/>
    </row>
    <row r="298" spans="2:8" s="600" customFormat="1" ht="18" customHeight="1">
      <c r="B298" s="267">
        <f t="shared" si="6"/>
        <v>152</v>
      </c>
      <c r="C298" s="289" t="s">
        <v>1099</v>
      </c>
      <c r="D298" s="396"/>
      <c r="E298" s="760" t="s">
        <v>1183</v>
      </c>
      <c r="F298" s="268" t="s">
        <v>1225</v>
      </c>
      <c r="H298" s="335"/>
    </row>
    <row r="299" spans="2:8" s="600" customFormat="1" ht="18" customHeight="1">
      <c r="B299" s="267">
        <f t="shared" si="6"/>
        <v>153</v>
      </c>
      <c r="C299" s="289" t="s">
        <v>1102</v>
      </c>
      <c r="D299" s="396"/>
      <c r="E299" s="760" t="s">
        <v>1183</v>
      </c>
      <c r="F299" s="268" t="s">
        <v>1226</v>
      </c>
      <c r="H299" s="335"/>
    </row>
    <row r="300" spans="2:8" s="600" customFormat="1" ht="18" customHeight="1">
      <c r="B300" s="267">
        <f t="shared" si="6"/>
        <v>154</v>
      </c>
      <c r="C300" s="289" t="s">
        <v>1102</v>
      </c>
      <c r="D300" s="396"/>
      <c r="E300" s="760" t="s">
        <v>1183</v>
      </c>
      <c r="F300" s="268" t="s">
        <v>1227</v>
      </c>
      <c r="H300" s="335"/>
    </row>
    <row r="301" spans="2:8" s="600" customFormat="1" ht="18" customHeight="1">
      <c r="B301" s="267">
        <f t="shared" si="6"/>
        <v>155</v>
      </c>
      <c r="C301" s="289" t="s">
        <v>1151</v>
      </c>
      <c r="D301" s="396"/>
      <c r="E301" s="760" t="s">
        <v>1183</v>
      </c>
      <c r="F301" s="268" t="s">
        <v>1228</v>
      </c>
      <c r="H301" s="335"/>
    </row>
    <row r="302" spans="2:8" s="600" customFormat="1" ht="18" customHeight="1">
      <c r="B302" s="267">
        <f t="shared" si="6"/>
        <v>156</v>
      </c>
      <c r="C302" s="289" t="s">
        <v>1151</v>
      </c>
      <c r="D302" s="396"/>
      <c r="E302" s="760" t="s">
        <v>1183</v>
      </c>
      <c r="F302" s="268" t="s">
        <v>1229</v>
      </c>
      <c r="H302" s="335"/>
    </row>
    <row r="303" spans="2:8" s="600" customFormat="1" ht="18" customHeight="1">
      <c r="B303" s="267">
        <f t="shared" si="6"/>
        <v>157</v>
      </c>
      <c r="C303" s="289" t="s">
        <v>1072</v>
      </c>
      <c r="D303" s="396"/>
      <c r="E303" s="760" t="s">
        <v>1183</v>
      </c>
      <c r="F303" s="268" t="s">
        <v>1230</v>
      </c>
      <c r="H303" s="335"/>
    </row>
    <row r="304" spans="2:8" s="600" customFormat="1" ht="18" customHeight="1">
      <c r="B304" s="267">
        <f t="shared" si="6"/>
        <v>158</v>
      </c>
      <c r="C304" s="289" t="s">
        <v>1072</v>
      </c>
      <c r="D304" s="396"/>
      <c r="E304" s="760" t="s">
        <v>1183</v>
      </c>
      <c r="F304" s="268" t="s">
        <v>1231</v>
      </c>
      <c r="H304" s="335"/>
    </row>
    <row r="305" spans="2:8" s="600" customFormat="1" ht="18" customHeight="1">
      <c r="B305" s="267">
        <f t="shared" si="6"/>
        <v>159</v>
      </c>
      <c r="C305" s="289" t="s">
        <v>1111</v>
      </c>
      <c r="D305" s="396"/>
      <c r="E305" s="760" t="s">
        <v>1183</v>
      </c>
      <c r="F305" s="268" t="s">
        <v>1232</v>
      </c>
      <c r="H305" s="335"/>
    </row>
    <row r="306" spans="2:8" s="600" customFormat="1" ht="18" customHeight="1">
      <c r="B306" s="267">
        <f t="shared" si="6"/>
        <v>160</v>
      </c>
      <c r="C306" s="289" t="s">
        <v>1111</v>
      </c>
      <c r="D306" s="396"/>
      <c r="E306" s="760" t="s">
        <v>1183</v>
      </c>
      <c r="F306" s="268" t="s">
        <v>1233</v>
      </c>
      <c r="H306" s="335"/>
    </row>
    <row r="307" spans="2:8" s="600" customFormat="1" ht="18" customHeight="1">
      <c r="B307" s="267">
        <f t="shared" si="6"/>
        <v>161</v>
      </c>
      <c r="C307" s="289" t="s">
        <v>1114</v>
      </c>
      <c r="D307" s="396"/>
      <c r="E307" s="760" t="s">
        <v>1183</v>
      </c>
      <c r="F307" s="268" t="s">
        <v>1234</v>
      </c>
      <c r="H307" s="335"/>
    </row>
    <row r="308" spans="2:8" s="600" customFormat="1" ht="18" customHeight="1">
      <c r="B308" s="267">
        <f t="shared" si="6"/>
        <v>162</v>
      </c>
      <c r="C308" s="289" t="s">
        <v>1114</v>
      </c>
      <c r="D308" s="396"/>
      <c r="E308" s="760" t="s">
        <v>1183</v>
      </c>
      <c r="F308" s="268" t="s">
        <v>1235</v>
      </c>
      <c r="H308" s="335"/>
    </row>
    <row r="309" spans="2:8" s="600" customFormat="1" ht="18" customHeight="1">
      <c r="B309" s="267">
        <f t="shared" si="6"/>
        <v>163</v>
      </c>
      <c r="C309" s="289" t="s">
        <v>1117</v>
      </c>
      <c r="D309" s="396"/>
      <c r="E309" s="760" t="s">
        <v>1183</v>
      </c>
      <c r="F309" s="268" t="s">
        <v>1236</v>
      </c>
      <c r="H309" s="335"/>
    </row>
    <row r="310" spans="2:8" s="600" customFormat="1" ht="18" customHeight="1">
      <c r="B310" s="267">
        <f t="shared" si="6"/>
        <v>164</v>
      </c>
      <c r="C310" s="289" t="s">
        <v>1117</v>
      </c>
      <c r="D310" s="396"/>
      <c r="E310" s="760" t="s">
        <v>1183</v>
      </c>
      <c r="F310" s="268" t="s">
        <v>1237</v>
      </c>
      <c r="H310" s="335"/>
    </row>
    <row r="311" spans="2:8" s="600" customFormat="1" ht="18" customHeight="1">
      <c r="B311" s="267">
        <f t="shared" si="6"/>
        <v>165</v>
      </c>
      <c r="C311" s="289" t="s">
        <v>1120</v>
      </c>
      <c r="D311" s="396"/>
      <c r="E311" s="760" t="s">
        <v>1183</v>
      </c>
      <c r="F311" s="268" t="s">
        <v>1238</v>
      </c>
      <c r="H311" s="335"/>
    </row>
    <row r="312" spans="2:8" s="600" customFormat="1" ht="18" customHeight="1">
      <c r="B312" s="267">
        <f t="shared" si="6"/>
        <v>166</v>
      </c>
      <c r="C312" s="289" t="s">
        <v>1120</v>
      </c>
      <c r="D312" s="396"/>
      <c r="E312" s="760" t="s">
        <v>1183</v>
      </c>
      <c r="F312" s="268" t="s">
        <v>1239</v>
      </c>
      <c r="H312" s="335"/>
    </row>
    <row r="313" spans="2:8" s="600" customFormat="1" ht="18" customHeight="1">
      <c r="B313" s="267">
        <f t="shared" si="6"/>
        <v>167</v>
      </c>
      <c r="C313" s="289" t="s">
        <v>1451</v>
      </c>
      <c r="D313" s="396"/>
      <c r="E313" s="760" t="s">
        <v>1183</v>
      </c>
      <c r="F313" s="268" t="s">
        <v>1240</v>
      </c>
      <c r="H313" s="335"/>
    </row>
    <row r="314" spans="2:8" s="600" customFormat="1" ht="18" customHeight="1">
      <c r="B314" s="267">
        <f t="shared" si="6"/>
        <v>168</v>
      </c>
      <c r="C314" s="289" t="s">
        <v>1452</v>
      </c>
      <c r="D314" s="396"/>
      <c r="E314" s="760" t="s">
        <v>1183</v>
      </c>
      <c r="F314" s="268" t="s">
        <v>1241</v>
      </c>
      <c r="H314" s="335"/>
    </row>
    <row r="315" spans="2:8" s="600" customFormat="1" ht="18" customHeight="1">
      <c r="B315" s="267">
        <f t="shared" si="6"/>
        <v>169</v>
      </c>
      <c r="C315" s="289" t="s">
        <v>1453</v>
      </c>
      <c r="D315" s="396"/>
      <c r="E315" s="760" t="s">
        <v>1183</v>
      </c>
      <c r="F315" s="268" t="s">
        <v>1242</v>
      </c>
      <c r="H315" s="335"/>
    </row>
    <row r="316" spans="2:8" s="600" customFormat="1" ht="18" customHeight="1">
      <c r="B316" s="267">
        <f t="shared" si="6"/>
        <v>170</v>
      </c>
      <c r="C316" s="289" t="s">
        <v>1454</v>
      </c>
      <c r="D316" s="396"/>
      <c r="E316" s="760" t="s">
        <v>1183</v>
      </c>
      <c r="F316" s="268" t="s">
        <v>1243</v>
      </c>
      <c r="H316" s="335"/>
    </row>
    <row r="317" spans="2:8" s="600" customFormat="1" ht="18" customHeight="1">
      <c r="B317" s="267">
        <f t="shared" si="6"/>
        <v>171</v>
      </c>
      <c r="C317" s="289" t="s">
        <v>1455</v>
      </c>
      <c r="D317" s="396"/>
      <c r="E317" s="760" t="s">
        <v>1183</v>
      </c>
      <c r="F317" s="268" t="s">
        <v>1244</v>
      </c>
      <c r="H317" s="335"/>
    </row>
    <row r="318" spans="2:8" s="600" customFormat="1" ht="18" customHeight="1">
      <c r="B318" s="267">
        <f t="shared" si="6"/>
        <v>172</v>
      </c>
      <c r="C318" s="289" t="s">
        <v>1456</v>
      </c>
      <c r="D318" s="396"/>
      <c r="E318" s="760" t="s">
        <v>1183</v>
      </c>
      <c r="F318" s="268" t="s">
        <v>1245</v>
      </c>
      <c r="H318" s="335"/>
    </row>
    <row r="319" spans="2:8" s="600" customFormat="1" ht="18" customHeight="1">
      <c r="B319" s="267">
        <f t="shared" si="6"/>
        <v>173</v>
      </c>
      <c r="C319" s="680" t="s">
        <v>894</v>
      </c>
      <c r="D319" s="768"/>
      <c r="E319" s="680" t="s">
        <v>894</v>
      </c>
      <c r="F319" s="761" t="s">
        <v>894</v>
      </c>
      <c r="H319" s="335"/>
    </row>
    <row r="320" spans="2:8" s="600" customFormat="1" ht="18" customHeight="1">
      <c r="B320" s="267">
        <f t="shared" si="6"/>
        <v>174</v>
      </c>
      <c r="C320" s="680" t="s">
        <v>894</v>
      </c>
      <c r="D320" s="768"/>
      <c r="E320" s="680" t="s">
        <v>894</v>
      </c>
      <c r="F320" s="761" t="s">
        <v>894</v>
      </c>
      <c r="H320" s="335"/>
    </row>
    <row r="321" spans="2:8" s="600" customFormat="1" ht="18" customHeight="1">
      <c r="B321" s="267">
        <f t="shared" si="6"/>
        <v>175</v>
      </c>
      <c r="C321" s="680" t="s">
        <v>894</v>
      </c>
      <c r="D321" s="768"/>
      <c r="E321" s="680" t="s">
        <v>894</v>
      </c>
      <c r="F321" s="761" t="s">
        <v>894</v>
      </c>
      <c r="H321" s="335"/>
    </row>
    <row r="322" spans="2:8" s="600" customFormat="1" ht="18" customHeight="1">
      <c r="B322" s="267">
        <f t="shared" si="6"/>
        <v>176</v>
      </c>
      <c r="C322" s="680" t="s">
        <v>894</v>
      </c>
      <c r="D322" s="768"/>
      <c r="E322" s="680" t="s">
        <v>894</v>
      </c>
      <c r="F322" s="761" t="s">
        <v>894</v>
      </c>
      <c r="H322" s="335"/>
    </row>
    <row r="323" spans="2:8" s="600" customFormat="1" ht="18" customHeight="1">
      <c r="B323" s="267">
        <f t="shared" si="6"/>
        <v>177</v>
      </c>
      <c r="C323" s="680" t="s">
        <v>894</v>
      </c>
      <c r="D323" s="768"/>
      <c r="E323" s="680" t="s">
        <v>894</v>
      </c>
      <c r="F323" s="761" t="s">
        <v>894</v>
      </c>
      <c r="H323" s="335"/>
    </row>
    <row r="324" spans="2:8" s="600" customFormat="1" ht="18" customHeight="1">
      <c r="B324" s="267">
        <f t="shared" si="6"/>
        <v>178</v>
      </c>
      <c r="C324" s="680" t="s">
        <v>894</v>
      </c>
      <c r="D324" s="768"/>
      <c r="E324" s="680" t="s">
        <v>894</v>
      </c>
      <c r="F324" s="761" t="s">
        <v>894</v>
      </c>
      <c r="H324" s="335"/>
    </row>
    <row r="325" spans="2:8" s="600" customFormat="1" ht="18" customHeight="1" thickBot="1">
      <c r="B325" s="766">
        <f t="shared" si="6"/>
        <v>179</v>
      </c>
      <c r="C325" s="769" t="s">
        <v>894</v>
      </c>
      <c r="D325" s="770"/>
      <c r="E325" s="769" t="s">
        <v>894</v>
      </c>
      <c r="F325" s="771" t="s">
        <v>894</v>
      </c>
      <c r="H325" s="335"/>
    </row>
    <row r="326" spans="2:8" s="600" customFormat="1" ht="18" customHeight="1">
      <c r="D326" s="613" t="s">
        <v>505</v>
      </c>
      <c r="H326" s="335"/>
    </row>
    <row r="327" spans="2:8" s="600" customFormat="1" ht="18" customHeight="1">
      <c r="D327" s="613" t="s">
        <v>1246</v>
      </c>
      <c r="H327" s="335"/>
    </row>
    <row r="328" spans="2:8" s="600" customFormat="1" ht="18" customHeight="1">
      <c r="B328" s="332" t="s">
        <v>421</v>
      </c>
      <c r="C328" s="6"/>
      <c r="D328" s="355"/>
      <c r="E328" s="8"/>
      <c r="F328" s="8"/>
      <c r="H328" s="335"/>
    </row>
    <row r="329" spans="2:8" s="600" customFormat="1" ht="18" customHeight="1" thickBot="1">
      <c r="B329" s="10"/>
      <c r="C329" s="6"/>
      <c r="D329" s="355"/>
      <c r="E329" s="8"/>
      <c r="F329" s="8"/>
      <c r="H329" s="335"/>
    </row>
    <row r="330" spans="2:8" s="600" customFormat="1" ht="18" customHeight="1" thickTop="1">
      <c r="B330" s="196" t="s">
        <v>264</v>
      </c>
      <c r="C330" s="915" t="s">
        <v>258</v>
      </c>
      <c r="D330" s="218" t="s">
        <v>418</v>
      </c>
      <c r="E330" s="929" t="s">
        <v>308</v>
      </c>
      <c r="F330" s="197" t="s">
        <v>265</v>
      </c>
      <c r="H330" s="335"/>
    </row>
    <row r="331" spans="2:8" s="600" customFormat="1" ht="18" customHeight="1" thickBot="1">
      <c r="B331" s="198" t="s">
        <v>266</v>
      </c>
      <c r="C331" s="916"/>
      <c r="D331" s="217" t="str">
        <f>+D144</f>
        <v>2025 FERC Form 1</v>
      </c>
      <c r="E331" s="930"/>
      <c r="F331" s="199" t="s">
        <v>267</v>
      </c>
      <c r="H331" s="335"/>
    </row>
    <row r="332" spans="2:8" s="600" customFormat="1" ht="18" customHeight="1">
      <c r="B332" s="286">
        <v>1</v>
      </c>
      <c r="C332" s="772" t="s">
        <v>1247</v>
      </c>
      <c r="D332" s="773">
        <v>0.21</v>
      </c>
      <c r="E332" s="758" t="s">
        <v>55</v>
      </c>
      <c r="F332" s="774" t="s">
        <v>354</v>
      </c>
      <c r="H332" s="335"/>
    </row>
    <row r="333" spans="2:8" s="600" customFormat="1" ht="18" customHeight="1">
      <c r="B333" s="284">
        <f t="shared" ref="B333:B351" si="7">B332+1</f>
        <v>2</v>
      </c>
      <c r="C333" s="244" t="s">
        <v>584</v>
      </c>
      <c r="D333" s="775">
        <v>0</v>
      </c>
      <c r="E333" s="8" t="s">
        <v>55</v>
      </c>
      <c r="F333" s="285" t="s">
        <v>691</v>
      </c>
      <c r="H333" s="335"/>
    </row>
    <row r="334" spans="2:8" s="600" customFormat="1" ht="18" customHeight="1">
      <c r="B334" s="267">
        <f t="shared" si="7"/>
        <v>3</v>
      </c>
      <c r="C334" s="776" t="s">
        <v>585</v>
      </c>
      <c r="D334" s="775">
        <v>0</v>
      </c>
      <c r="E334" s="342" t="s">
        <v>55</v>
      </c>
      <c r="F334" s="269" t="s">
        <v>355</v>
      </c>
    </row>
    <row r="335" spans="2:8" s="600" customFormat="1" ht="18" customHeight="1">
      <c r="B335" s="267">
        <f t="shared" si="7"/>
        <v>4</v>
      </c>
      <c r="C335" s="777" t="s">
        <v>586</v>
      </c>
      <c r="D335" s="775">
        <v>0</v>
      </c>
      <c r="E335" s="8" t="s">
        <v>55</v>
      </c>
      <c r="F335" s="754" t="s">
        <v>598</v>
      </c>
    </row>
    <row r="336" spans="2:8" s="600" customFormat="1" ht="18" customHeight="1">
      <c r="B336" s="267">
        <f t="shared" si="7"/>
        <v>5</v>
      </c>
      <c r="C336" s="777" t="s">
        <v>587</v>
      </c>
      <c r="D336" s="778">
        <v>0</v>
      </c>
      <c r="E336" s="342" t="s">
        <v>55</v>
      </c>
      <c r="F336" s="754" t="s">
        <v>598</v>
      </c>
    </row>
    <row r="337" spans="2:6" s="600" customFormat="1" ht="18" customHeight="1">
      <c r="B337" s="267">
        <f t="shared" si="7"/>
        <v>6</v>
      </c>
      <c r="C337" s="777" t="s">
        <v>586</v>
      </c>
      <c r="D337" s="778">
        <v>0</v>
      </c>
      <c r="E337" s="342" t="s">
        <v>55</v>
      </c>
      <c r="F337" s="754" t="s">
        <v>598</v>
      </c>
    </row>
    <row r="338" spans="2:6" s="600" customFormat="1" ht="18" customHeight="1">
      <c r="B338" s="267">
        <f t="shared" si="7"/>
        <v>7</v>
      </c>
      <c r="C338" s="680" t="s">
        <v>1248</v>
      </c>
      <c r="D338" s="778">
        <v>0.35</v>
      </c>
      <c r="E338" s="342" t="s">
        <v>55</v>
      </c>
      <c r="F338" s="754" t="s">
        <v>1249</v>
      </c>
    </row>
    <row r="339" spans="2:6" s="600" customFormat="1" ht="18" customHeight="1">
      <c r="B339" s="267">
        <f t="shared" si="7"/>
        <v>8</v>
      </c>
      <c r="C339" s="680" t="s">
        <v>1250</v>
      </c>
      <c r="D339" s="778">
        <v>0.21</v>
      </c>
      <c r="E339" s="342" t="s">
        <v>55</v>
      </c>
      <c r="F339" s="754" t="s">
        <v>1249</v>
      </c>
    </row>
    <row r="340" spans="2:6" s="600" customFormat="1" ht="18" customHeight="1">
      <c r="B340" s="267">
        <f t="shared" si="7"/>
        <v>9</v>
      </c>
      <c r="C340" s="680" t="s">
        <v>1251</v>
      </c>
      <c r="D340" s="778">
        <v>0</v>
      </c>
      <c r="E340" s="342" t="s">
        <v>55</v>
      </c>
      <c r="F340" s="754" t="s">
        <v>1249</v>
      </c>
    </row>
    <row r="341" spans="2:6" s="600" customFormat="1" ht="18" customHeight="1">
      <c r="B341" s="267">
        <f t="shared" si="7"/>
        <v>10</v>
      </c>
      <c r="C341" s="680" t="s">
        <v>1252</v>
      </c>
      <c r="D341" s="778">
        <v>0</v>
      </c>
      <c r="E341" s="342" t="s">
        <v>55</v>
      </c>
      <c r="F341" s="754" t="s">
        <v>1249</v>
      </c>
    </row>
    <row r="342" spans="2:6" s="600" customFormat="1" ht="18" customHeight="1">
      <c r="B342" s="267">
        <f t="shared" si="7"/>
        <v>11</v>
      </c>
      <c r="C342" s="680" t="s">
        <v>894</v>
      </c>
      <c r="D342" s="778"/>
      <c r="E342" s="680" t="s">
        <v>894</v>
      </c>
      <c r="F342" s="761" t="s">
        <v>894</v>
      </c>
    </row>
    <row r="343" spans="2:6" s="600" customFormat="1" ht="18" customHeight="1">
      <c r="B343" s="267">
        <f t="shared" si="7"/>
        <v>12</v>
      </c>
      <c r="C343" s="680" t="s">
        <v>894</v>
      </c>
      <c r="D343" s="778"/>
      <c r="E343" s="680" t="s">
        <v>894</v>
      </c>
      <c r="F343" s="761" t="s">
        <v>894</v>
      </c>
    </row>
    <row r="344" spans="2:6" s="600" customFormat="1" ht="18" customHeight="1">
      <c r="B344" s="267">
        <f t="shared" si="7"/>
        <v>13</v>
      </c>
      <c r="C344" s="680" t="s">
        <v>894</v>
      </c>
      <c r="D344" s="778"/>
      <c r="E344" s="680" t="s">
        <v>894</v>
      </c>
      <c r="F344" s="761" t="s">
        <v>894</v>
      </c>
    </row>
    <row r="345" spans="2:6" s="600" customFormat="1" ht="18" customHeight="1">
      <c r="B345" s="267">
        <f t="shared" si="7"/>
        <v>14</v>
      </c>
      <c r="C345" s="680" t="s">
        <v>894</v>
      </c>
      <c r="D345" s="778"/>
      <c r="E345" s="680" t="s">
        <v>894</v>
      </c>
      <c r="F345" s="761" t="s">
        <v>894</v>
      </c>
    </row>
    <row r="346" spans="2:6" s="600" customFormat="1" ht="18" customHeight="1">
      <c r="B346" s="267">
        <f t="shared" si="7"/>
        <v>15</v>
      </c>
      <c r="C346" s="680" t="s">
        <v>894</v>
      </c>
      <c r="D346" s="778"/>
      <c r="E346" s="680" t="s">
        <v>894</v>
      </c>
      <c r="F346" s="761" t="s">
        <v>894</v>
      </c>
    </row>
    <row r="347" spans="2:6" s="600" customFormat="1" ht="18" customHeight="1">
      <c r="B347" s="267">
        <f t="shared" si="7"/>
        <v>16</v>
      </c>
      <c r="C347" s="680" t="s">
        <v>894</v>
      </c>
      <c r="D347" s="778"/>
      <c r="E347" s="680" t="s">
        <v>894</v>
      </c>
      <c r="F347" s="761" t="s">
        <v>894</v>
      </c>
    </row>
    <row r="348" spans="2:6" s="600" customFormat="1" ht="18" customHeight="1">
      <c r="B348" s="267">
        <f t="shared" si="7"/>
        <v>17</v>
      </c>
      <c r="C348" s="680" t="s">
        <v>894</v>
      </c>
      <c r="D348" s="778"/>
      <c r="E348" s="680" t="s">
        <v>894</v>
      </c>
      <c r="F348" s="761" t="s">
        <v>894</v>
      </c>
    </row>
    <row r="349" spans="2:6" s="600" customFormat="1" ht="18" customHeight="1">
      <c r="B349" s="267">
        <f t="shared" si="7"/>
        <v>18</v>
      </c>
      <c r="C349" s="680" t="s">
        <v>894</v>
      </c>
      <c r="D349" s="778"/>
      <c r="E349" s="680" t="s">
        <v>894</v>
      </c>
      <c r="F349" s="761" t="s">
        <v>894</v>
      </c>
    </row>
    <row r="350" spans="2:6" s="600" customFormat="1" ht="18" customHeight="1">
      <c r="B350" s="267">
        <f t="shared" si="7"/>
        <v>19</v>
      </c>
      <c r="C350" s="680" t="s">
        <v>894</v>
      </c>
      <c r="D350" s="778"/>
      <c r="E350" s="680" t="s">
        <v>894</v>
      </c>
      <c r="F350" s="761" t="s">
        <v>894</v>
      </c>
    </row>
    <row r="351" spans="2:6" s="600" customFormat="1" ht="18" customHeight="1" thickBot="1">
      <c r="B351" s="766">
        <f t="shared" si="7"/>
        <v>20</v>
      </c>
      <c r="C351" s="769" t="s">
        <v>894</v>
      </c>
      <c r="D351" s="779"/>
      <c r="E351" s="769" t="s">
        <v>894</v>
      </c>
      <c r="F351" s="771" t="s">
        <v>894</v>
      </c>
    </row>
    <row r="352" spans="2:6" s="600" customFormat="1" ht="18" customHeight="1">
      <c r="B352" s="10"/>
      <c r="C352" s="6"/>
      <c r="D352" s="355"/>
      <c r="E352" s="8"/>
      <c r="F352" s="8"/>
    </row>
    <row r="353" spans="2:6" s="600" customFormat="1" ht="18" customHeight="1">
      <c r="B353" s="10"/>
      <c r="C353" s="6"/>
      <c r="D353" s="355"/>
      <c r="E353" s="8"/>
      <c r="F353" s="8"/>
    </row>
    <row r="354" spans="2:6" s="600" customFormat="1" ht="18" customHeight="1">
      <c r="B354" s="10"/>
      <c r="C354" s="6"/>
      <c r="D354" s="355"/>
      <c r="E354" s="8"/>
      <c r="F354" s="8"/>
    </row>
    <row r="355" spans="2:6" s="600" customFormat="1" ht="18" customHeight="1">
      <c r="B355" s="10"/>
      <c r="C355" s="6"/>
      <c r="D355" s="355"/>
      <c r="E355" s="8"/>
      <c r="F355" s="8"/>
    </row>
    <row r="356" spans="2:6" s="600" customFormat="1" ht="18" customHeight="1">
      <c r="B356" s="10"/>
      <c r="C356" s="6"/>
      <c r="D356" s="355"/>
      <c r="E356" s="8"/>
      <c r="F356" s="8"/>
    </row>
    <row r="357" spans="2:6" s="600" customFormat="1" ht="18" customHeight="1">
      <c r="B357" s="10"/>
      <c r="C357" s="6"/>
      <c r="D357" s="355"/>
      <c r="E357" s="8"/>
      <c r="F357" s="8"/>
    </row>
    <row r="358" spans="2:6" s="600" customFormat="1" ht="18" customHeight="1">
      <c r="B358" s="10"/>
      <c r="C358" s="6"/>
      <c r="D358" s="355"/>
      <c r="E358" s="8"/>
      <c r="F358" s="8"/>
    </row>
    <row r="359" spans="2:6" s="600" customFormat="1" ht="18" customHeight="1">
      <c r="B359" s="10"/>
      <c r="C359" s="6"/>
      <c r="D359" s="355"/>
      <c r="E359" s="8"/>
      <c r="F359" s="8"/>
    </row>
    <row r="360" spans="2:6" s="600" customFormat="1" ht="18" customHeight="1">
      <c r="B360" s="10"/>
      <c r="C360" s="6"/>
      <c r="D360" s="355"/>
      <c r="E360" s="8"/>
      <c r="F360" s="8"/>
    </row>
    <row r="361" spans="2:6" s="600" customFormat="1" ht="18" customHeight="1">
      <c r="B361" s="10"/>
      <c r="C361" s="6"/>
      <c r="D361" s="355"/>
      <c r="E361" s="8"/>
      <c r="F361" s="8"/>
    </row>
    <row r="362" spans="2:6" s="600" customFormat="1" ht="18" customHeight="1">
      <c r="B362" s="10"/>
      <c r="C362" s="6"/>
      <c r="D362" s="355"/>
      <c r="E362" s="8"/>
      <c r="F362" s="8"/>
    </row>
    <row r="363" spans="2:6" s="600" customFormat="1" ht="18" customHeight="1">
      <c r="B363" s="10"/>
      <c r="C363" s="6"/>
      <c r="D363" s="355"/>
      <c r="E363" s="8"/>
      <c r="F363" s="8"/>
    </row>
    <row r="364" spans="2:6" s="600" customFormat="1" ht="18" customHeight="1">
      <c r="B364" s="10"/>
      <c r="C364" s="6"/>
      <c r="D364" s="355"/>
      <c r="E364" s="8"/>
      <c r="F364" s="8"/>
    </row>
    <row r="365" spans="2:6" s="600" customFormat="1" ht="18" customHeight="1">
      <c r="B365" s="10"/>
      <c r="C365" s="6"/>
      <c r="D365" s="355"/>
      <c r="E365" s="8"/>
      <c r="F365" s="8"/>
    </row>
    <row r="366" spans="2:6" s="600" customFormat="1" ht="18" customHeight="1">
      <c r="B366" s="10"/>
      <c r="C366" s="6"/>
      <c r="D366" s="355"/>
      <c r="E366" s="8"/>
      <c r="F366" s="8"/>
    </row>
    <row r="367" spans="2:6" s="600" customFormat="1" ht="18" customHeight="1">
      <c r="B367" s="10"/>
      <c r="C367" s="6"/>
      <c r="D367" s="355"/>
      <c r="E367" s="8"/>
      <c r="F367" s="8"/>
    </row>
    <row r="368" spans="2:6" s="600" customFormat="1" ht="18" customHeight="1">
      <c r="B368" s="10"/>
      <c r="C368" s="6"/>
      <c r="D368" s="355"/>
      <c r="E368" s="8"/>
      <c r="F368" s="8"/>
    </row>
    <row r="369" spans="2:6" s="600" customFormat="1" ht="18" customHeight="1">
      <c r="B369" s="10"/>
      <c r="C369" s="6"/>
      <c r="D369" s="355"/>
      <c r="E369" s="8"/>
      <c r="F369" s="8"/>
    </row>
    <row r="370" spans="2:6" s="600" customFormat="1" ht="18" customHeight="1">
      <c r="B370" s="10"/>
      <c r="C370" s="6"/>
      <c r="D370" s="355"/>
      <c r="E370" s="8"/>
      <c r="F370" s="8"/>
    </row>
    <row r="371" spans="2:6" s="600" customFormat="1" ht="18" customHeight="1">
      <c r="B371" s="10"/>
      <c r="C371" s="6"/>
      <c r="D371" s="355"/>
      <c r="E371" s="8"/>
      <c r="F371" s="8"/>
    </row>
    <row r="372" spans="2:6" s="600" customFormat="1" ht="18" customHeight="1">
      <c r="B372" s="10"/>
      <c r="C372" s="6"/>
      <c r="D372" s="355"/>
      <c r="E372" s="8"/>
      <c r="F372" s="8"/>
    </row>
    <row r="373" spans="2:6" s="600" customFormat="1" ht="18" customHeight="1">
      <c r="B373" s="10"/>
      <c r="C373" s="6"/>
      <c r="D373" s="355"/>
      <c r="E373" s="8"/>
      <c r="F373" s="8"/>
    </row>
    <row r="374" spans="2:6" s="600" customFormat="1" ht="18" customHeight="1">
      <c r="B374" s="10"/>
      <c r="C374" s="6"/>
      <c r="D374" s="355"/>
      <c r="E374" s="8"/>
      <c r="F374" s="8"/>
    </row>
    <row r="375" spans="2:6" s="600" customFormat="1" ht="18" customHeight="1">
      <c r="B375" s="10"/>
      <c r="C375" s="6"/>
      <c r="D375" s="355"/>
      <c r="E375" s="8"/>
      <c r="F375" s="8"/>
    </row>
    <row r="376" spans="2:6" s="600" customFormat="1" ht="18" customHeight="1">
      <c r="B376" s="10"/>
      <c r="C376" s="6"/>
      <c r="D376" s="355"/>
      <c r="E376" s="8"/>
      <c r="F376" s="8"/>
    </row>
    <row r="377" spans="2:6" s="600" customFormat="1" ht="18" customHeight="1">
      <c r="B377" s="10"/>
      <c r="C377" s="6"/>
      <c r="D377" s="355"/>
      <c r="E377" s="8"/>
      <c r="F377" s="8"/>
    </row>
    <row r="378" spans="2:6" s="600" customFormat="1" ht="18" customHeight="1">
      <c r="B378" s="10"/>
      <c r="C378" s="6"/>
      <c r="D378" s="355"/>
      <c r="E378" s="8"/>
      <c r="F378" s="8"/>
    </row>
    <row r="379" spans="2:6" s="600" customFormat="1" ht="18" customHeight="1">
      <c r="B379" s="10"/>
      <c r="C379" s="6"/>
      <c r="D379" s="355"/>
      <c r="E379" s="8"/>
      <c r="F379" s="8"/>
    </row>
    <row r="380" spans="2:6" s="600" customFormat="1" ht="18" customHeight="1">
      <c r="B380" s="10"/>
      <c r="C380" s="6"/>
      <c r="D380" s="355"/>
      <c r="E380" s="8"/>
      <c r="F380" s="8"/>
    </row>
    <row r="381" spans="2:6" s="600" customFormat="1" ht="18" customHeight="1">
      <c r="B381" s="10"/>
      <c r="C381" s="6"/>
      <c r="D381" s="355"/>
      <c r="E381" s="8"/>
      <c r="F381" s="8"/>
    </row>
    <row r="382" spans="2:6" s="600" customFormat="1" ht="18" customHeight="1">
      <c r="B382" s="10"/>
      <c r="C382" s="6"/>
      <c r="D382" s="355"/>
      <c r="E382" s="8"/>
      <c r="F382" s="8"/>
    </row>
    <row r="383" spans="2:6" s="600" customFormat="1" ht="18" customHeight="1">
      <c r="B383" s="10"/>
      <c r="C383" s="6"/>
      <c r="D383" s="355"/>
      <c r="E383" s="8"/>
      <c r="F383" s="8"/>
    </row>
    <row r="384" spans="2:6" s="600" customFormat="1" ht="18" customHeight="1">
      <c r="B384" s="10"/>
      <c r="C384" s="6"/>
      <c r="D384" s="355"/>
      <c r="E384" s="8"/>
      <c r="F384" s="8"/>
    </row>
    <row r="385" spans="2:6" s="600" customFormat="1" ht="18" customHeight="1">
      <c r="B385" s="10"/>
      <c r="C385" s="6"/>
      <c r="D385" s="355"/>
      <c r="E385" s="8"/>
      <c r="F385" s="8"/>
    </row>
    <row r="386" spans="2:6" s="600" customFormat="1" ht="18" customHeight="1">
      <c r="B386" s="10"/>
      <c r="C386" s="6"/>
      <c r="D386" s="355"/>
      <c r="E386" s="8"/>
      <c r="F386" s="8"/>
    </row>
    <row r="387" spans="2:6" s="600" customFormat="1" ht="18" customHeight="1">
      <c r="B387" s="10"/>
      <c r="C387" s="6"/>
      <c r="D387" s="355"/>
      <c r="E387" s="8"/>
      <c r="F387" s="8"/>
    </row>
    <row r="388" spans="2:6" s="600" customFormat="1" ht="18" customHeight="1">
      <c r="B388" s="10"/>
      <c r="C388" s="6"/>
      <c r="D388" s="355"/>
      <c r="E388" s="8"/>
      <c r="F388" s="8"/>
    </row>
    <row r="389" spans="2:6" s="600" customFormat="1" ht="18" customHeight="1">
      <c r="B389" s="10"/>
      <c r="C389" s="6"/>
      <c r="D389" s="355"/>
      <c r="E389" s="8"/>
      <c r="F389" s="8"/>
    </row>
    <row r="390" spans="2:6" s="600" customFormat="1" ht="18" customHeight="1">
      <c r="B390" s="10"/>
      <c r="C390" s="6"/>
      <c r="D390" s="355"/>
      <c r="E390" s="8"/>
      <c r="F390" s="8"/>
    </row>
    <row r="391" spans="2:6" s="600" customFormat="1" ht="18" customHeight="1">
      <c r="B391" s="10"/>
      <c r="C391" s="6"/>
      <c r="D391" s="355"/>
      <c r="E391" s="8"/>
      <c r="F391" s="8"/>
    </row>
    <row r="392" spans="2:6" s="600" customFormat="1" ht="18" customHeight="1">
      <c r="B392" s="10"/>
      <c r="C392" s="6"/>
      <c r="D392" s="355"/>
      <c r="E392" s="8"/>
      <c r="F392" s="8"/>
    </row>
    <row r="393" spans="2:6" s="600" customFormat="1" ht="18" customHeight="1">
      <c r="B393" s="10"/>
      <c r="C393" s="6"/>
      <c r="D393" s="355"/>
      <c r="E393" s="8"/>
      <c r="F393" s="8"/>
    </row>
    <row r="394" spans="2:6" s="600" customFormat="1" ht="18" customHeight="1">
      <c r="B394" s="10"/>
      <c r="C394" s="6"/>
      <c r="D394" s="355"/>
      <c r="E394" s="8"/>
      <c r="F394" s="8"/>
    </row>
    <row r="395" spans="2:6" s="600" customFormat="1" ht="18" customHeight="1">
      <c r="B395" s="10"/>
      <c r="C395" s="6"/>
      <c r="D395" s="355"/>
      <c r="E395" s="8"/>
      <c r="F395" s="8"/>
    </row>
    <row r="396" spans="2:6" s="600" customFormat="1" ht="18" customHeight="1">
      <c r="B396" s="10"/>
      <c r="C396" s="6"/>
      <c r="D396" s="355"/>
      <c r="E396" s="8"/>
      <c r="F396" s="8"/>
    </row>
    <row r="397" spans="2:6" s="600" customFormat="1" ht="18" customHeight="1">
      <c r="B397" s="10"/>
      <c r="C397" s="6"/>
      <c r="D397" s="355"/>
      <c r="E397" s="8"/>
      <c r="F397" s="8"/>
    </row>
    <row r="398" spans="2:6" s="600" customFormat="1" ht="18" customHeight="1">
      <c r="B398" s="10"/>
      <c r="C398" s="6"/>
      <c r="D398" s="355"/>
      <c r="E398" s="8"/>
      <c r="F398" s="8"/>
    </row>
    <row r="399" spans="2:6" s="600" customFormat="1" ht="18" customHeight="1">
      <c r="B399" s="10"/>
      <c r="C399" s="6"/>
      <c r="D399" s="355"/>
      <c r="E399" s="8"/>
      <c r="F399" s="8"/>
    </row>
    <row r="400" spans="2:6" s="600" customFormat="1" ht="18" customHeight="1">
      <c r="B400" s="10"/>
      <c r="C400" s="6"/>
      <c r="D400" s="355"/>
      <c r="E400" s="8"/>
      <c r="F400" s="8"/>
    </row>
    <row r="401" spans="2:6" s="600" customFormat="1" ht="18" customHeight="1">
      <c r="B401" s="10"/>
      <c r="C401" s="6"/>
      <c r="D401" s="355"/>
      <c r="E401" s="8"/>
      <c r="F401" s="8"/>
    </row>
    <row r="402" spans="2:6" s="600" customFormat="1" ht="18" customHeight="1">
      <c r="B402" s="10"/>
      <c r="C402" s="6"/>
      <c r="D402" s="355"/>
      <c r="E402" s="8"/>
      <c r="F402" s="8"/>
    </row>
    <row r="403" spans="2:6" s="600" customFormat="1" ht="18" customHeight="1">
      <c r="B403" s="10"/>
      <c r="C403" s="6"/>
      <c r="D403" s="355"/>
      <c r="E403" s="8"/>
      <c r="F403" s="8"/>
    </row>
    <row r="404" spans="2:6" s="600" customFormat="1" ht="18" customHeight="1">
      <c r="B404" s="10"/>
      <c r="C404" s="6"/>
      <c r="D404" s="355"/>
      <c r="E404" s="8"/>
      <c r="F404" s="8"/>
    </row>
    <row r="405" spans="2:6" s="600" customFormat="1" ht="18" customHeight="1">
      <c r="B405" s="10"/>
      <c r="C405" s="6"/>
      <c r="D405" s="355"/>
      <c r="E405" s="8"/>
      <c r="F405" s="8"/>
    </row>
    <row r="406" spans="2:6" s="600" customFormat="1" ht="18" customHeight="1">
      <c r="B406" s="10"/>
      <c r="C406" s="6"/>
      <c r="D406" s="355"/>
      <c r="E406" s="8"/>
      <c r="F406" s="8"/>
    </row>
    <row r="407" spans="2:6" s="600" customFormat="1" ht="18" customHeight="1">
      <c r="B407" s="6"/>
      <c r="C407" s="6"/>
      <c r="D407" s="6"/>
      <c r="E407" s="8"/>
      <c r="F407" s="8"/>
    </row>
    <row r="408" spans="2:6" s="600" customFormat="1" ht="12" customHeight="1">
      <c r="D408" s="613" t="s">
        <v>505</v>
      </c>
      <c r="E408" s="616"/>
      <c r="F408" s="616"/>
    </row>
    <row r="409" spans="2:6" s="600" customFormat="1" ht="12" customHeight="1">
      <c r="D409" s="613" t="s">
        <v>1253</v>
      </c>
      <c r="E409" s="616"/>
      <c r="F409" s="616"/>
    </row>
    <row r="410" spans="2:6" s="600" customFormat="1" ht="12" customHeight="1">
      <c r="E410" s="616"/>
      <c r="F410" s="616"/>
    </row>
    <row r="411" spans="2:6" s="600" customFormat="1" ht="12" customHeight="1">
      <c r="E411" s="616"/>
      <c r="F411" s="616"/>
    </row>
    <row r="412" spans="2:6" s="600" customFormat="1" ht="12" customHeight="1">
      <c r="E412" s="616"/>
      <c r="F412" s="616"/>
    </row>
    <row r="413" spans="2:6" s="600" customFormat="1" ht="12" customHeight="1">
      <c r="E413" s="616"/>
      <c r="F413" s="616"/>
    </row>
    <row r="414" spans="2:6" s="600" customFormat="1" ht="14.1" customHeight="1">
      <c r="E414" s="616"/>
      <c r="F414" s="616"/>
    </row>
    <row r="415" spans="2:6" s="600" customFormat="1" ht="14.1" customHeight="1">
      <c r="E415" s="616"/>
      <c r="F415" s="616"/>
    </row>
  </sheetData>
  <mergeCells count="20">
    <mergeCell ref="H116:N116"/>
    <mergeCell ref="C143:C144"/>
    <mergeCell ref="C330:C331"/>
    <mergeCell ref="E330:E331"/>
    <mergeCell ref="D135:F135"/>
    <mergeCell ref="E117:F117"/>
    <mergeCell ref="E118:F118"/>
    <mergeCell ref="E116:F116"/>
    <mergeCell ref="B1:F1"/>
    <mergeCell ref="B2:F2"/>
    <mergeCell ref="C6:C7"/>
    <mergeCell ref="B93:F93"/>
    <mergeCell ref="B94:F94"/>
    <mergeCell ref="C98:C99"/>
    <mergeCell ref="E98:E99"/>
    <mergeCell ref="E114:F114"/>
    <mergeCell ref="E115:F115"/>
    <mergeCell ref="D133:F133"/>
    <mergeCell ref="E119:F119"/>
    <mergeCell ref="D132:F132"/>
  </mergeCells>
  <phoneticPr fontId="0" type="noConversion"/>
  <printOptions horizontalCentered="1"/>
  <pageMargins left="0.5" right="0.5" top="0.63" bottom="0.4" header="0.3" footer="0.3"/>
  <pageSetup scale="41" fitToHeight="0" orientation="portrait" r:id="rId1"/>
  <headerFooter alignWithMargins="0">
    <oddHeader>&amp;C&amp;"Times New Roman,Bold"&amp;16ADDENDUM 27 TO ATTACHMENT H, Page &amp;P  of &amp;N
NorthWestern Corporation (South Dakota)</oddHeader>
  </headerFooter>
  <rowBreaks count="4" manualBreakCount="4">
    <brk id="89" max="5" man="1"/>
    <brk id="138" max="5" man="1"/>
    <brk id="233" max="5" man="1"/>
    <brk id="327" max="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P162"/>
  <sheetViews>
    <sheetView topLeftCell="A57" workbookViewId="0">
      <selection activeCell="P71" sqref="P71"/>
    </sheetView>
  </sheetViews>
  <sheetFormatPr defaultColWidth="9.109375" defaultRowHeight="13.2"/>
  <cols>
    <col min="1" max="1" width="1.6640625" style="102" customWidth="1"/>
    <col min="2" max="2" width="4.109375" style="102" customWidth="1"/>
    <col min="3" max="3" width="10.5546875" style="102" customWidth="1"/>
    <col min="4" max="4" width="11.6640625" style="102" customWidth="1"/>
    <col min="5" max="5" width="13.44140625" style="102" customWidth="1"/>
    <col min="6" max="6" width="6.5546875" style="102" customWidth="1"/>
    <col min="7" max="7" width="20.33203125" style="102" customWidth="1"/>
    <col min="8" max="8" width="14.44140625" style="102" customWidth="1"/>
    <col min="9" max="9" width="3.88671875" style="102" customWidth="1"/>
    <col min="10" max="10" width="14.33203125" style="102" customWidth="1"/>
    <col min="11" max="11" width="15.44140625" style="102" customWidth="1"/>
    <col min="12" max="12" width="5.33203125" style="102" customWidth="1"/>
    <col min="13" max="13" width="14.6640625" style="102" customWidth="1"/>
    <col min="14" max="14" width="8.33203125" style="102" customWidth="1"/>
    <col min="15" max="15" width="2.33203125" style="102" customWidth="1"/>
    <col min="16" max="16" width="19.5546875" style="102" customWidth="1"/>
    <col min="17" max="16384" width="9.109375" style="102"/>
  </cols>
  <sheetData>
    <row r="1" spans="2:16" ht="20.399999999999999">
      <c r="B1" s="1064" t="s">
        <v>559</v>
      </c>
      <c r="C1" s="1064"/>
      <c r="D1" s="1064"/>
      <c r="E1" s="1064"/>
      <c r="F1" s="1064"/>
      <c r="G1" s="1064"/>
      <c r="H1" s="1064"/>
      <c r="I1" s="1064"/>
      <c r="J1" s="1064"/>
      <c r="K1" s="1064"/>
      <c r="L1" s="1064"/>
      <c r="M1" s="1064"/>
      <c r="N1" s="1064"/>
      <c r="O1" s="1064"/>
      <c r="P1" s="1064"/>
    </row>
    <row r="2" spans="2:16" ht="19.2">
      <c r="B2" s="1108" t="str">
        <f>Inputs!B2</f>
        <v>(For Rate Year Beginning April 1, 2026, Based on December 31, 2025 Data)</v>
      </c>
      <c r="C2" s="1108"/>
      <c r="D2" s="1108"/>
      <c r="E2" s="1108"/>
      <c r="F2" s="1108"/>
      <c r="G2" s="1108"/>
      <c r="H2" s="1108"/>
      <c r="I2" s="1108"/>
      <c r="J2" s="1108"/>
      <c r="K2" s="1108"/>
      <c r="L2" s="1108"/>
      <c r="M2" s="1108"/>
      <c r="N2" s="1108"/>
      <c r="O2" s="1108"/>
      <c r="P2" s="1108"/>
    </row>
    <row r="4" spans="2:16" ht="15.9" customHeight="1">
      <c r="B4" s="157" t="s">
        <v>123</v>
      </c>
      <c r="C4" s="108"/>
    </row>
    <row r="5" spans="2:16" ht="8.1" customHeight="1"/>
    <row r="6" spans="2:16">
      <c r="D6" s="1111" t="s">
        <v>122</v>
      </c>
      <c r="E6" s="1112"/>
      <c r="G6" s="1115" t="s">
        <v>121</v>
      </c>
      <c r="H6" s="1116"/>
      <c r="J6" s="1115" t="s">
        <v>120</v>
      </c>
      <c r="K6" s="1116"/>
      <c r="M6" s="1115" t="s">
        <v>119</v>
      </c>
      <c r="N6" s="1116"/>
      <c r="P6" s="1119" t="s">
        <v>118</v>
      </c>
    </row>
    <row r="7" spans="2:16">
      <c r="D7" s="1113"/>
      <c r="E7" s="1114"/>
      <c r="G7" s="1117"/>
      <c r="H7" s="1118"/>
      <c r="J7" s="1117"/>
      <c r="K7" s="1118"/>
      <c r="M7" s="1117"/>
      <c r="N7" s="1118"/>
      <c r="P7" s="1120"/>
    </row>
    <row r="8" spans="2:16">
      <c r="D8" s="116" t="s">
        <v>117</v>
      </c>
      <c r="E8" s="116" t="s">
        <v>263</v>
      </c>
      <c r="G8" s="116" t="s">
        <v>116</v>
      </c>
      <c r="H8" s="116" t="s">
        <v>263</v>
      </c>
      <c r="J8" s="116" t="s">
        <v>115</v>
      </c>
      <c r="K8" s="116" t="s">
        <v>263</v>
      </c>
      <c r="M8" s="116" t="s">
        <v>114</v>
      </c>
      <c r="N8" s="116" t="s">
        <v>263</v>
      </c>
      <c r="P8" s="116" t="s">
        <v>787</v>
      </c>
    </row>
    <row r="9" spans="2:16">
      <c r="G9" s="103"/>
      <c r="H9" s="103"/>
    </row>
    <row r="10" spans="2:16">
      <c r="B10" s="114" t="s">
        <v>244</v>
      </c>
      <c r="C10" s="114" t="s">
        <v>78</v>
      </c>
      <c r="D10" s="103" t="s">
        <v>525</v>
      </c>
      <c r="E10" s="103"/>
      <c r="G10" s="103" t="s">
        <v>524</v>
      </c>
      <c r="H10" s="103"/>
      <c r="J10" s="103" t="s">
        <v>523</v>
      </c>
      <c r="K10" s="103"/>
      <c r="L10" s="103"/>
      <c r="M10" s="103" t="s">
        <v>522</v>
      </c>
      <c r="P10" s="103" t="s">
        <v>77</v>
      </c>
    </row>
    <row r="11" spans="2:16">
      <c r="B11" s="103"/>
      <c r="C11" s="103"/>
      <c r="E11" s="103"/>
      <c r="G11" s="103"/>
      <c r="H11" s="103"/>
    </row>
    <row r="12" spans="2:16">
      <c r="B12" s="109" t="s">
        <v>521</v>
      </c>
      <c r="C12" s="216">
        <f>'7-ComStock'!B14</f>
        <v>45657</v>
      </c>
      <c r="D12" s="209">
        <f>Inputs!D23</f>
        <v>0</v>
      </c>
      <c r="E12" s="103" t="s">
        <v>520</v>
      </c>
      <c r="G12" s="208">
        <f>+Inputs!D19</f>
        <v>520000000</v>
      </c>
      <c r="H12" s="103" t="s">
        <v>514</v>
      </c>
      <c r="J12" s="209">
        <f>Inputs!D21</f>
        <v>0</v>
      </c>
      <c r="K12" s="103" t="s">
        <v>516</v>
      </c>
      <c r="M12" s="208">
        <f>Inputs!D25</f>
        <v>34000000</v>
      </c>
      <c r="N12" s="103" t="s">
        <v>76</v>
      </c>
      <c r="P12" s="561">
        <f>D12+G12-J12+M12</f>
        <v>554000000</v>
      </c>
    </row>
    <row r="13" spans="2:16" ht="8.1" customHeight="1">
      <c r="B13" s="110"/>
      <c r="C13" s="103"/>
      <c r="E13" s="103"/>
      <c r="H13" s="103"/>
      <c r="K13" s="103"/>
      <c r="N13" s="103"/>
    </row>
    <row r="14" spans="2:16">
      <c r="B14" s="109" t="s">
        <v>518</v>
      </c>
      <c r="C14" s="216">
        <f>'7-ComStock'!B17</f>
        <v>46022</v>
      </c>
      <c r="D14" s="209">
        <f>Inputs!D22</f>
        <v>0</v>
      </c>
      <c r="E14" s="103" t="s">
        <v>517</v>
      </c>
      <c r="G14" s="208">
        <f>+Inputs!D18</f>
        <v>556000000</v>
      </c>
      <c r="H14" s="103" t="s">
        <v>519</v>
      </c>
      <c r="J14" s="209">
        <f>Inputs!D20</f>
        <v>0</v>
      </c>
      <c r="K14" s="103" t="s">
        <v>513</v>
      </c>
      <c r="M14" s="519">
        <f>Inputs!D24</f>
        <v>41000000</v>
      </c>
      <c r="N14" s="103" t="s">
        <v>74</v>
      </c>
      <c r="P14" s="519">
        <f>D14+G14-J14+M14</f>
        <v>597000000</v>
      </c>
    </row>
    <row r="15" spans="2:16" ht="8.1" customHeight="1">
      <c r="B15" s="110"/>
      <c r="C15" s="103"/>
      <c r="E15" s="103"/>
      <c r="H15" s="103"/>
    </row>
    <row r="16" spans="2:16">
      <c r="B16" s="109" t="s">
        <v>515</v>
      </c>
      <c r="C16" s="103"/>
      <c r="D16" s="108" t="s">
        <v>786</v>
      </c>
      <c r="E16" s="103"/>
      <c r="H16" s="103"/>
      <c r="J16" s="108"/>
      <c r="K16" s="108"/>
      <c r="P16" s="538">
        <f>(P12+P14)/2</f>
        <v>575500000</v>
      </c>
    </row>
    <row r="17" spans="2:16" ht="8.1" customHeight="1">
      <c r="B17" s="110"/>
      <c r="C17" s="103"/>
      <c r="E17" s="103"/>
      <c r="H17" s="103"/>
      <c r="J17" s="108"/>
      <c r="K17" s="108"/>
      <c r="P17" s="136"/>
    </row>
    <row r="18" spans="2:16" ht="8.1" customHeight="1">
      <c r="B18" s="103"/>
      <c r="C18" s="103"/>
      <c r="E18" s="103"/>
      <c r="H18" s="103"/>
    </row>
    <row r="19" spans="2:16">
      <c r="B19" s="103"/>
      <c r="C19" s="156" t="s">
        <v>113</v>
      </c>
      <c r="D19" s="152" t="s">
        <v>29</v>
      </c>
      <c r="E19" s="153"/>
      <c r="F19" s="152"/>
      <c r="G19" s="152"/>
      <c r="H19" s="155"/>
      <c r="I19" s="152"/>
      <c r="J19" s="154" t="s">
        <v>68</v>
      </c>
      <c r="K19" s="152" t="s">
        <v>300</v>
      </c>
      <c r="L19" s="153"/>
      <c r="M19" s="152"/>
      <c r="N19" s="151"/>
      <c r="O19" s="103"/>
    </row>
    <row r="20" spans="2:16" ht="6" customHeight="1">
      <c r="B20" s="103"/>
      <c r="C20" s="148"/>
      <c r="D20" s="145"/>
      <c r="E20" s="146"/>
      <c r="F20" s="145"/>
      <c r="G20" s="145"/>
      <c r="H20" s="147"/>
      <c r="I20" s="145"/>
      <c r="J20" s="146"/>
      <c r="K20" s="145"/>
      <c r="L20" s="146"/>
      <c r="M20" s="145"/>
      <c r="N20" s="144"/>
      <c r="O20" s="103"/>
    </row>
    <row r="21" spans="2:16">
      <c r="B21" s="103"/>
      <c r="C21" s="150" t="s">
        <v>112</v>
      </c>
      <c r="D21" s="145" t="s">
        <v>299</v>
      </c>
      <c r="E21" s="146"/>
      <c r="F21" s="145"/>
      <c r="G21" s="145"/>
      <c r="H21" s="147"/>
      <c r="I21" s="145"/>
      <c r="J21" s="149" t="s">
        <v>67</v>
      </c>
      <c r="K21" s="145" t="s">
        <v>301</v>
      </c>
      <c r="L21" s="146"/>
      <c r="M21" s="145"/>
      <c r="N21" s="144"/>
      <c r="O21" s="103"/>
    </row>
    <row r="22" spans="2:16" ht="6" customHeight="1">
      <c r="B22" s="103"/>
      <c r="C22" s="148"/>
      <c r="D22" s="145"/>
      <c r="E22" s="146"/>
      <c r="F22" s="145"/>
      <c r="G22" s="145"/>
      <c r="H22" s="147"/>
      <c r="I22" s="145"/>
      <c r="J22" s="146"/>
      <c r="K22" s="145"/>
      <c r="L22" s="146"/>
      <c r="M22" s="145"/>
      <c r="N22" s="144"/>
      <c r="O22" s="103"/>
    </row>
    <row r="23" spans="2:16">
      <c r="B23" s="103"/>
      <c r="C23" s="150" t="s">
        <v>70</v>
      </c>
      <c r="D23" s="145" t="s">
        <v>607</v>
      </c>
      <c r="E23" s="146"/>
      <c r="F23" s="145"/>
      <c r="G23" s="145"/>
      <c r="H23" s="147"/>
      <c r="I23" s="145"/>
      <c r="J23" s="149" t="s">
        <v>66</v>
      </c>
      <c r="K23" s="145" t="s">
        <v>302</v>
      </c>
      <c r="L23" s="146"/>
      <c r="M23" s="145"/>
      <c r="N23" s="144"/>
      <c r="O23" s="103"/>
    </row>
    <row r="24" spans="2:16" ht="6" customHeight="1">
      <c r="B24" s="103"/>
      <c r="C24" s="148"/>
      <c r="D24" s="145"/>
      <c r="E24" s="146"/>
      <c r="F24" s="145"/>
      <c r="G24" s="145"/>
      <c r="H24" s="147"/>
      <c r="I24" s="145"/>
      <c r="J24" s="146"/>
      <c r="K24" s="145"/>
      <c r="L24" s="146"/>
      <c r="M24" s="145"/>
      <c r="N24" s="144"/>
      <c r="O24" s="103"/>
    </row>
    <row r="25" spans="2:16">
      <c r="B25" s="103"/>
      <c r="C25" s="143" t="s">
        <v>69</v>
      </c>
      <c r="D25" s="140" t="s">
        <v>608</v>
      </c>
      <c r="E25" s="141"/>
      <c r="F25" s="140"/>
      <c r="G25" s="140"/>
      <c r="H25" s="212"/>
      <c r="I25" s="140"/>
      <c r="J25" s="142" t="s">
        <v>65</v>
      </c>
      <c r="K25" s="140" t="s">
        <v>303</v>
      </c>
      <c r="L25" s="141"/>
      <c r="M25" s="140"/>
      <c r="N25" s="139"/>
      <c r="O25" s="103"/>
    </row>
    <row r="26" spans="2:16" ht="12.6" customHeight="1">
      <c r="B26" s="103"/>
      <c r="C26" s="103"/>
      <c r="E26" s="103"/>
    </row>
    <row r="27" spans="2:16" ht="12.6" customHeight="1">
      <c r="B27" s="103"/>
      <c r="C27" s="103"/>
      <c r="E27" s="103"/>
      <c r="H27" s="23"/>
      <c r="I27" s="23"/>
      <c r="J27" s="23"/>
    </row>
    <row r="28" spans="2:16" ht="12.6" customHeight="1">
      <c r="B28" s="103"/>
      <c r="C28" s="103"/>
      <c r="G28" s="23"/>
      <c r="H28" s="23"/>
      <c r="I28" s="23"/>
      <c r="J28" s="23"/>
    </row>
    <row r="29" spans="2:16" ht="15.9" customHeight="1">
      <c r="B29" s="539" t="s">
        <v>111</v>
      </c>
      <c r="C29" s="103"/>
      <c r="P29" s="126"/>
    </row>
    <row r="30" spans="2:16" ht="8.1" customHeight="1">
      <c r="J30" s="451"/>
      <c r="P30" s="190"/>
    </row>
    <row r="31" spans="2:16">
      <c r="B31" s="114" t="s">
        <v>244</v>
      </c>
      <c r="C31" s="114" t="s">
        <v>110</v>
      </c>
      <c r="J31" s="132"/>
      <c r="P31" s="190"/>
    </row>
    <row r="32" spans="2:16">
      <c r="P32" s="190"/>
    </row>
    <row r="33" spans="2:16">
      <c r="B33" s="109" t="s">
        <v>512</v>
      </c>
      <c r="C33" s="216">
        <f>C12</f>
        <v>45657</v>
      </c>
      <c r="D33" s="102" t="s">
        <v>719</v>
      </c>
      <c r="M33" s="540">
        <f>Inputs!D27</f>
        <v>0</v>
      </c>
      <c r="P33" s="190"/>
    </row>
    <row r="34" spans="2:16">
      <c r="B34" s="109" t="s">
        <v>510</v>
      </c>
      <c r="C34" s="216">
        <f>C14</f>
        <v>46022</v>
      </c>
      <c r="D34" s="102" t="s">
        <v>720</v>
      </c>
      <c r="M34" s="541">
        <f>Inputs!D26</f>
        <v>0</v>
      </c>
    </row>
    <row r="35" spans="2:16">
      <c r="B35" s="109" t="s">
        <v>96</v>
      </c>
      <c r="C35" s="103"/>
      <c r="G35" s="108" t="s">
        <v>109</v>
      </c>
      <c r="M35" s="542">
        <f>(M33+M34)/2</f>
        <v>0</v>
      </c>
    </row>
    <row r="36" spans="2:16">
      <c r="C36" s="103"/>
    </row>
    <row r="37" spans="2:16">
      <c r="B37" s="109" t="s">
        <v>95</v>
      </c>
      <c r="C37" s="216">
        <f>C12</f>
        <v>45657</v>
      </c>
      <c r="D37" s="102" t="s">
        <v>721</v>
      </c>
      <c r="M37" s="519">
        <f>Inputs!D29</f>
        <v>0</v>
      </c>
    </row>
    <row r="38" spans="2:16">
      <c r="B38" s="109" t="s">
        <v>93</v>
      </c>
      <c r="C38" s="216">
        <f>C14</f>
        <v>46022</v>
      </c>
      <c r="D38" s="102" t="s">
        <v>722</v>
      </c>
      <c r="M38" s="519">
        <f>Inputs!D28</f>
        <v>0</v>
      </c>
    </row>
    <row r="39" spans="2:16">
      <c r="B39" s="109" t="s">
        <v>92</v>
      </c>
      <c r="G39" s="108" t="s">
        <v>108</v>
      </c>
      <c r="M39" s="538">
        <f>(M37+M38)/2</f>
        <v>0</v>
      </c>
    </row>
    <row r="40" spans="2:16">
      <c r="B40" s="109"/>
      <c r="G40" s="108"/>
      <c r="M40" s="543"/>
    </row>
    <row r="41" spans="2:16">
      <c r="B41" s="109" t="s">
        <v>107</v>
      </c>
      <c r="C41" s="216">
        <f>C37</f>
        <v>45657</v>
      </c>
      <c r="D41" s="602" t="s">
        <v>1406</v>
      </c>
      <c r="E41" s="755"/>
      <c r="F41" s="755"/>
      <c r="G41" s="755"/>
      <c r="H41" s="755"/>
      <c r="I41" s="755"/>
      <c r="J41" s="755"/>
      <c r="K41" s="755"/>
      <c r="M41" s="519">
        <f>Inputs!D122</f>
        <v>1514884</v>
      </c>
    </row>
    <row r="42" spans="2:16">
      <c r="B42" s="109" t="s">
        <v>105</v>
      </c>
      <c r="C42" s="216">
        <f>C38</f>
        <v>46022</v>
      </c>
      <c r="D42" s="602" t="s">
        <v>1407</v>
      </c>
      <c r="E42" s="755"/>
      <c r="F42" s="755"/>
      <c r="G42" s="755"/>
      <c r="H42" s="755"/>
      <c r="I42" s="755"/>
      <c r="J42" s="755"/>
      <c r="K42" s="755"/>
      <c r="M42" s="519">
        <f>Inputs!D123</f>
        <v>1779029</v>
      </c>
    </row>
    <row r="43" spans="2:16">
      <c r="B43" s="109" t="s">
        <v>104</v>
      </c>
      <c r="D43" s="602"/>
      <c r="G43" s="108" t="s">
        <v>743</v>
      </c>
      <c r="M43" s="538">
        <f>(M41+M42)/2</f>
        <v>1646956.5</v>
      </c>
    </row>
    <row r="44" spans="2:16">
      <c r="B44" s="109"/>
      <c r="D44" s="602"/>
      <c r="G44" s="108"/>
      <c r="M44" s="543"/>
    </row>
    <row r="45" spans="2:16">
      <c r="B45" s="109" t="s">
        <v>103</v>
      </c>
      <c r="C45" s="216">
        <f>C41</f>
        <v>45657</v>
      </c>
      <c r="D45" s="602" t="s">
        <v>1408</v>
      </c>
      <c r="E45" s="755"/>
      <c r="F45" s="755"/>
      <c r="G45" s="755"/>
      <c r="H45" s="755"/>
      <c r="I45" s="755"/>
      <c r="J45" s="755"/>
      <c r="K45" s="755"/>
      <c r="M45" s="519">
        <f>Inputs!D124</f>
        <v>793326</v>
      </c>
    </row>
    <row r="46" spans="2:16">
      <c r="B46" s="109" t="s">
        <v>727</v>
      </c>
      <c r="C46" s="216">
        <f>C42</f>
        <v>46022</v>
      </c>
      <c r="D46" s="602" t="s">
        <v>1409</v>
      </c>
      <c r="E46" s="755"/>
      <c r="F46" s="755"/>
      <c r="G46" s="755"/>
      <c r="H46" s="755"/>
      <c r="I46" s="755"/>
      <c r="J46" s="755"/>
      <c r="K46" s="755"/>
      <c r="M46" s="519">
        <f>Inputs!D125</f>
        <v>216035</v>
      </c>
    </row>
    <row r="47" spans="2:16">
      <c r="B47" s="109" t="s">
        <v>728</v>
      </c>
      <c r="D47" s="602"/>
      <c r="G47" s="108" t="s">
        <v>744</v>
      </c>
      <c r="M47" s="538">
        <f>(M45+M46)/2</f>
        <v>504680.5</v>
      </c>
    </row>
    <row r="48" spans="2:16">
      <c r="B48" s="109"/>
      <c r="D48" s="602"/>
      <c r="G48" s="108"/>
      <c r="M48" s="543"/>
    </row>
    <row r="49" spans="2:16">
      <c r="B49" s="109" t="s">
        <v>745</v>
      </c>
      <c r="C49" s="216">
        <f>C41</f>
        <v>45657</v>
      </c>
      <c r="D49" s="602" t="s">
        <v>1410</v>
      </c>
      <c r="E49" s="755"/>
      <c r="F49" s="755"/>
      <c r="G49" s="755"/>
      <c r="H49" s="755"/>
      <c r="I49" s="755"/>
      <c r="J49" s="755"/>
      <c r="K49" s="755"/>
      <c r="M49" s="519">
        <f>Inputs!D126</f>
        <v>0</v>
      </c>
    </row>
    <row r="50" spans="2:16">
      <c r="B50" s="109" t="s">
        <v>746</v>
      </c>
      <c r="C50" s="216">
        <f>C42</f>
        <v>46022</v>
      </c>
      <c r="D50" s="602" t="s">
        <v>1411</v>
      </c>
      <c r="E50" s="755"/>
      <c r="F50" s="755"/>
      <c r="G50" s="755"/>
      <c r="H50" s="755"/>
      <c r="I50" s="755"/>
      <c r="J50" s="755"/>
      <c r="K50" s="755"/>
      <c r="M50" s="519">
        <f>Inputs!D127</f>
        <v>0</v>
      </c>
    </row>
    <row r="51" spans="2:16">
      <c r="B51" s="109" t="s">
        <v>747</v>
      </c>
      <c r="G51" s="108" t="s">
        <v>744</v>
      </c>
      <c r="M51" s="538">
        <f>(M49+M50)/2</f>
        <v>0</v>
      </c>
    </row>
    <row r="53" spans="2:16">
      <c r="B53" s="109" t="s">
        <v>748</v>
      </c>
      <c r="D53" s="102" t="s">
        <v>106</v>
      </c>
      <c r="M53" s="132">
        <f>P16</f>
        <v>575500000</v>
      </c>
    </row>
    <row r="54" spans="2:16">
      <c r="B54" s="109" t="s">
        <v>749</v>
      </c>
      <c r="D54" s="102" t="s">
        <v>784</v>
      </c>
      <c r="M54" s="541">
        <f>M35+M51</f>
        <v>0</v>
      </c>
    </row>
    <row r="55" spans="2:16">
      <c r="B55" s="109" t="s">
        <v>750</v>
      </c>
      <c r="D55" s="102" t="s">
        <v>785</v>
      </c>
      <c r="M55" s="132">
        <f>M39+M43+M47</f>
        <v>2151637</v>
      </c>
    </row>
    <row r="57" spans="2:16">
      <c r="B57" s="109" t="s">
        <v>751</v>
      </c>
      <c r="D57" s="108" t="s">
        <v>98</v>
      </c>
      <c r="M57" s="529">
        <f>M53+M54-M55</f>
        <v>573348363</v>
      </c>
    </row>
    <row r="59" spans="2:16">
      <c r="B59" s="1121" t="s">
        <v>313</v>
      </c>
      <c r="C59" s="1122"/>
      <c r="D59" s="1122"/>
      <c r="E59" s="1122"/>
      <c r="F59" s="1122"/>
      <c r="G59" s="1122"/>
      <c r="H59" s="1122"/>
      <c r="I59" s="1122"/>
      <c r="J59" s="1122"/>
      <c r="K59" s="1122"/>
      <c r="L59" s="1122"/>
      <c r="M59" s="1122"/>
    </row>
    <row r="60" spans="2:16">
      <c r="B60" s="1122"/>
      <c r="C60" s="1122"/>
      <c r="D60" s="1122"/>
      <c r="E60" s="1122"/>
      <c r="F60" s="1122"/>
      <c r="G60" s="1122"/>
      <c r="H60" s="1122"/>
      <c r="I60" s="1122"/>
      <c r="J60" s="1122"/>
      <c r="K60" s="1122"/>
      <c r="L60" s="1122"/>
      <c r="M60" s="1122"/>
    </row>
    <row r="62" spans="2:16">
      <c r="I62" s="103" t="s">
        <v>135</v>
      </c>
    </row>
    <row r="63" spans="2:16">
      <c r="I63" s="103" t="s">
        <v>97</v>
      </c>
    </row>
    <row r="64" spans="2:16" ht="20.399999999999999">
      <c r="B64" s="1064" t="str">
        <f>B1</f>
        <v>Attachment 9, LONG-TERM DEBT</v>
      </c>
      <c r="C64" s="1064"/>
      <c r="D64" s="1064"/>
      <c r="E64" s="1064"/>
      <c r="F64" s="1064"/>
      <c r="G64" s="1064"/>
      <c r="H64" s="1064"/>
      <c r="I64" s="1064"/>
      <c r="J64" s="1064"/>
      <c r="K64" s="1064"/>
      <c r="L64" s="1064"/>
      <c r="M64" s="1064"/>
      <c r="N64" s="1064"/>
      <c r="O64" s="1064"/>
      <c r="P64" s="1064"/>
    </row>
    <row r="65" spans="2:16" ht="19.2">
      <c r="B65" s="1108" t="str">
        <f>B2</f>
        <v>(For Rate Year Beginning April 1, 2026, Based on December 31, 2025 Data)</v>
      </c>
      <c r="C65" s="1108"/>
      <c r="D65" s="1108"/>
      <c r="E65" s="1108"/>
      <c r="F65" s="1108"/>
      <c r="G65" s="1108"/>
      <c r="H65" s="1108"/>
      <c r="I65" s="1108"/>
      <c r="J65" s="1108"/>
      <c r="K65" s="1108"/>
      <c r="L65" s="1108"/>
      <c r="M65" s="1108"/>
      <c r="N65" s="1108"/>
      <c r="O65" s="1108"/>
      <c r="P65" s="1108"/>
    </row>
    <row r="66" spans="2:16" ht="15.9" customHeight="1"/>
    <row r="67" spans="2:16" ht="15.9" customHeight="1">
      <c r="B67" s="539" t="s">
        <v>304</v>
      </c>
      <c r="D67" s="544"/>
    </row>
    <row r="69" spans="2:16">
      <c r="B69" s="114" t="s">
        <v>244</v>
      </c>
    </row>
    <row r="71" spans="2:16">
      <c r="B71" s="109" t="s">
        <v>521</v>
      </c>
      <c r="C71" s="102" t="s">
        <v>718</v>
      </c>
      <c r="M71" s="137"/>
      <c r="P71" s="138">
        <f>Inputs!D32</f>
        <v>24948300</v>
      </c>
    </row>
    <row r="72" spans="2:16" ht="3.9" customHeight="1">
      <c r="B72" s="110"/>
      <c r="M72" s="137"/>
      <c r="P72" s="138"/>
    </row>
    <row r="73" spans="2:16">
      <c r="B73" s="109" t="s">
        <v>518</v>
      </c>
      <c r="C73" s="102" t="s">
        <v>606</v>
      </c>
      <c r="M73" s="137"/>
      <c r="P73" s="138">
        <f>Inputs!D33</f>
        <v>347505</v>
      </c>
    </row>
    <row r="74" spans="2:16" ht="3.9" customHeight="1">
      <c r="B74" s="110"/>
      <c r="M74" s="137"/>
      <c r="P74" s="138"/>
    </row>
    <row r="75" spans="2:16">
      <c r="B75" s="109" t="s">
        <v>515</v>
      </c>
      <c r="C75" s="102" t="s">
        <v>305</v>
      </c>
      <c r="M75" s="137"/>
      <c r="P75" s="138">
        <f>Inputs!D34</f>
        <v>577291</v>
      </c>
    </row>
    <row r="76" spans="2:16" ht="3.9" customHeight="1">
      <c r="B76" s="110"/>
      <c r="M76" s="137"/>
      <c r="P76" s="138"/>
    </row>
    <row r="77" spans="2:16">
      <c r="B77" s="109" t="s">
        <v>512</v>
      </c>
      <c r="C77" s="102" t="s">
        <v>306</v>
      </c>
      <c r="M77" s="137"/>
      <c r="P77" s="138">
        <f>Inputs!D35</f>
        <v>0</v>
      </c>
    </row>
    <row r="78" spans="2:16" ht="3.9" customHeight="1">
      <c r="B78" s="110"/>
      <c r="M78" s="137"/>
      <c r="P78" s="138"/>
    </row>
    <row r="79" spans="2:16">
      <c r="B79" s="109" t="s">
        <v>510</v>
      </c>
      <c r="C79" s="102" t="s">
        <v>307</v>
      </c>
      <c r="M79" s="137"/>
      <c r="P79" s="138">
        <f>+Inputs!D36</f>
        <v>0</v>
      </c>
    </row>
    <row r="80" spans="2:16" ht="3.9" customHeight="1">
      <c r="B80" s="110"/>
    </row>
    <row r="81" spans="2:16" ht="12.75" customHeight="1">
      <c r="B81" s="109" t="s">
        <v>468</v>
      </c>
      <c r="C81" s="102" t="s">
        <v>687</v>
      </c>
      <c r="P81" s="138">
        <f>+Inputs!D49</f>
        <v>0</v>
      </c>
    </row>
    <row r="82" spans="2:16" ht="3.9" customHeight="1">
      <c r="B82" s="109"/>
    </row>
    <row r="83" spans="2:16">
      <c r="B83" s="110"/>
    </row>
    <row r="84" spans="2:16">
      <c r="B84" s="109" t="s">
        <v>96</v>
      </c>
      <c r="C84" s="108" t="s">
        <v>94</v>
      </c>
      <c r="M84" s="136"/>
      <c r="P84" s="545">
        <f>P71+P73+P75-P77-P79+P81</f>
        <v>25873096</v>
      </c>
    </row>
    <row r="86" spans="2:16">
      <c r="B86" s="109" t="s">
        <v>95</v>
      </c>
      <c r="C86" s="102" t="s">
        <v>789</v>
      </c>
      <c r="M86" s="132"/>
      <c r="P86" s="529">
        <f>M57</f>
        <v>573348363</v>
      </c>
    </row>
    <row r="87" spans="2:16">
      <c r="B87" s="110"/>
    </row>
    <row r="88" spans="2:16">
      <c r="B88" s="109" t="s">
        <v>93</v>
      </c>
      <c r="C88" s="108" t="s">
        <v>350</v>
      </c>
      <c r="M88" s="131"/>
      <c r="P88" s="546">
        <f>P84/P86</f>
        <v>4.5126310058026621E-2</v>
      </c>
    </row>
    <row r="89" spans="2:16">
      <c r="B89" s="110"/>
    </row>
    <row r="90" spans="2:16">
      <c r="B90" s="110"/>
    </row>
    <row r="91" spans="2:16">
      <c r="B91" s="547"/>
    </row>
    <row r="92" spans="2:16">
      <c r="B92" s="110"/>
    </row>
    <row r="93" spans="2:16">
      <c r="B93" s="110"/>
    </row>
    <row r="94" spans="2:16">
      <c r="B94" s="110"/>
    </row>
    <row r="95" spans="2:16">
      <c r="B95" s="110"/>
    </row>
    <row r="96" spans="2:16">
      <c r="B96" s="110"/>
    </row>
    <row r="97" spans="2:2">
      <c r="B97" s="110"/>
    </row>
    <row r="98" spans="2:2">
      <c r="B98" s="110"/>
    </row>
    <row r="99" spans="2:2">
      <c r="B99" s="110"/>
    </row>
    <row r="100" spans="2:2">
      <c r="B100" s="110"/>
    </row>
    <row r="101" spans="2:2">
      <c r="B101" s="110"/>
    </row>
    <row r="102" spans="2:2">
      <c r="B102" s="110"/>
    </row>
    <row r="103" spans="2:2">
      <c r="B103" s="110"/>
    </row>
    <row r="104" spans="2:2">
      <c r="B104" s="110"/>
    </row>
    <row r="105" spans="2:2">
      <c r="B105" s="110"/>
    </row>
    <row r="106" spans="2:2">
      <c r="B106" s="110"/>
    </row>
    <row r="107" spans="2:2">
      <c r="B107" s="110"/>
    </row>
    <row r="108" spans="2:2" ht="12.75" customHeight="1">
      <c r="B108" s="110"/>
    </row>
    <row r="109" spans="2:2">
      <c r="B109" s="110"/>
    </row>
    <row r="110" spans="2:2">
      <c r="B110" s="110"/>
    </row>
    <row r="111" spans="2:2">
      <c r="B111" s="110"/>
    </row>
    <row r="112" spans="2:2">
      <c r="B112" s="110"/>
    </row>
    <row r="113" spans="2:16">
      <c r="B113" s="110"/>
    </row>
    <row r="114" spans="2:16">
      <c r="B114" s="110"/>
      <c r="I114" s="103" t="s">
        <v>135</v>
      </c>
    </row>
    <row r="115" spans="2:16">
      <c r="B115" s="110"/>
      <c r="I115" s="103" t="s">
        <v>91</v>
      </c>
    </row>
    <row r="116" spans="2:16" ht="12.75" customHeight="1">
      <c r="B116" s="110"/>
    </row>
    <row r="117" spans="2:16" ht="12.75" customHeight="1">
      <c r="B117" s="548"/>
    </row>
    <row r="118" spans="2:16" ht="12.75" customHeight="1"/>
    <row r="119" spans="2:16" ht="12.75" customHeight="1">
      <c r="B119" s="114"/>
    </row>
    <row r="120" spans="2:16" ht="12.75" customHeight="1"/>
    <row r="121" spans="2:16" ht="12.75" customHeight="1">
      <c r="B121" s="109"/>
      <c r="M121" s="134"/>
      <c r="P121" s="135"/>
    </row>
    <row r="122" spans="2:16" ht="12.75" customHeight="1">
      <c r="B122" s="110"/>
    </row>
    <row r="123" spans="2:16" ht="12.75" customHeight="1">
      <c r="B123" s="110"/>
    </row>
    <row r="124" spans="2:16" ht="12.75" customHeight="1">
      <c r="B124" s="109"/>
      <c r="M124" s="134"/>
      <c r="P124" s="135"/>
    </row>
    <row r="125" spans="2:16" ht="12.75" customHeight="1">
      <c r="B125" s="110"/>
    </row>
    <row r="126" spans="2:16" ht="12.75" customHeight="1">
      <c r="B126" s="109"/>
      <c r="M126" s="131"/>
      <c r="P126" s="113"/>
    </row>
    <row r="127" spans="2:16" ht="12.75" customHeight="1">
      <c r="B127" s="110"/>
    </row>
    <row r="128" spans="2:16" ht="12.75" customHeight="1">
      <c r="B128" s="109"/>
      <c r="M128" s="134"/>
      <c r="P128" s="135"/>
    </row>
    <row r="129" spans="2:16" ht="12.75" customHeight="1">
      <c r="B129" s="110"/>
    </row>
    <row r="130" spans="2:16" ht="12.75" customHeight="1">
      <c r="B130" s="109"/>
    </row>
    <row r="131" spans="2:16" ht="12.75" customHeight="1">
      <c r="B131" s="110"/>
    </row>
    <row r="132" spans="2:16" ht="12.75" customHeight="1">
      <c r="B132" s="109"/>
      <c r="M132" s="134"/>
      <c r="P132" s="133"/>
    </row>
    <row r="133" spans="2:16" ht="12.75" customHeight="1">
      <c r="B133" s="110"/>
    </row>
    <row r="134" spans="2:16" ht="12.75" customHeight="1">
      <c r="B134" s="109"/>
      <c r="M134" s="132"/>
      <c r="P134" s="132"/>
    </row>
    <row r="135" spans="2:16" ht="12.75" customHeight="1">
      <c r="B135" s="110"/>
    </row>
    <row r="136" spans="2:16" ht="12.75" customHeight="1">
      <c r="B136" s="109"/>
      <c r="M136" s="131"/>
      <c r="P136" s="130"/>
    </row>
    <row r="137" spans="2:16" ht="12.75" customHeight="1">
      <c r="B137" s="110"/>
    </row>
    <row r="138" spans="2:16" ht="12.75" customHeight="1">
      <c r="B138" s="129"/>
      <c r="C138" s="128"/>
      <c r="D138" s="128"/>
      <c r="E138" s="128"/>
      <c r="F138" s="128"/>
      <c r="G138" s="128"/>
      <c r="H138" s="128"/>
      <c r="I138" s="128"/>
      <c r="J138" s="128"/>
      <c r="K138" s="128"/>
      <c r="L138" s="128"/>
      <c r="M138" s="128"/>
    </row>
    <row r="139" spans="2:16" ht="12.75" customHeight="1">
      <c r="B139" s="128"/>
      <c r="C139" s="128"/>
      <c r="D139" s="128"/>
      <c r="E139" s="128"/>
      <c r="F139" s="128"/>
      <c r="G139" s="128"/>
      <c r="H139" s="128"/>
      <c r="I139" s="128"/>
      <c r="J139" s="128"/>
      <c r="K139" s="128"/>
      <c r="L139" s="128"/>
      <c r="M139" s="128"/>
    </row>
    <row r="140" spans="2:16" ht="12.75" customHeight="1">
      <c r="B140" s="128"/>
      <c r="C140" s="128"/>
      <c r="D140" s="128"/>
      <c r="E140" s="128"/>
      <c r="F140" s="128"/>
      <c r="G140" s="128"/>
      <c r="H140" s="128"/>
      <c r="I140" s="128"/>
      <c r="J140" s="128"/>
      <c r="K140" s="128"/>
      <c r="L140" s="128"/>
      <c r="M140" s="128"/>
    </row>
    <row r="141" spans="2:16" ht="12.75" customHeight="1"/>
    <row r="142" spans="2:16" ht="12.75" customHeight="1">
      <c r="B142" s="127"/>
      <c r="C142" s="126"/>
      <c r="D142" s="126"/>
      <c r="E142" s="126"/>
      <c r="F142" s="126"/>
      <c r="G142" s="126"/>
      <c r="H142" s="126"/>
      <c r="I142" s="126"/>
      <c r="J142" s="126"/>
      <c r="K142" s="126"/>
      <c r="L142" s="126"/>
      <c r="M142" s="126"/>
      <c r="N142" s="126"/>
    </row>
    <row r="143" spans="2:16" ht="12.75" customHeight="1">
      <c r="B143" s="126"/>
      <c r="C143" s="126"/>
      <c r="D143" s="126"/>
      <c r="E143" s="126"/>
      <c r="F143" s="126"/>
      <c r="G143" s="126"/>
      <c r="H143" s="126"/>
      <c r="I143" s="126"/>
      <c r="J143" s="126"/>
      <c r="K143" s="126"/>
      <c r="L143" s="126"/>
      <c r="M143" s="126"/>
      <c r="N143" s="126"/>
    </row>
    <row r="144" spans="2:16" ht="12.75" customHeight="1"/>
    <row r="145" spans="2:14" ht="12.75" customHeight="1">
      <c r="B145" s="127"/>
      <c r="C145" s="126"/>
      <c r="D145" s="126"/>
      <c r="E145" s="126"/>
      <c r="F145" s="126"/>
      <c r="G145" s="126"/>
      <c r="H145" s="126"/>
      <c r="I145" s="126"/>
      <c r="J145" s="126"/>
      <c r="K145" s="126"/>
      <c r="L145" s="126"/>
      <c r="M145" s="126"/>
      <c r="N145" s="126"/>
    </row>
    <row r="146" spans="2:14" ht="12.75" customHeight="1">
      <c r="B146" s="126"/>
      <c r="C146" s="126"/>
      <c r="D146" s="126"/>
      <c r="E146" s="126"/>
      <c r="F146" s="126"/>
      <c r="G146" s="126"/>
      <c r="H146" s="126"/>
      <c r="I146" s="126"/>
      <c r="J146" s="126"/>
      <c r="K146" s="126"/>
      <c r="L146" s="126"/>
      <c r="M146" s="126"/>
      <c r="N146" s="126"/>
    </row>
    <row r="147" spans="2:14" ht="12.75" customHeight="1">
      <c r="B147" s="110"/>
    </row>
    <row r="148" spans="2:14" ht="12.75" customHeight="1">
      <c r="B148" s="127"/>
      <c r="C148" s="126"/>
      <c r="D148" s="126"/>
      <c r="E148" s="126"/>
      <c r="F148" s="126"/>
      <c r="G148" s="126"/>
      <c r="H148" s="126"/>
      <c r="I148" s="126"/>
      <c r="J148" s="126"/>
      <c r="K148" s="126"/>
      <c r="L148" s="126"/>
      <c r="M148" s="126"/>
      <c r="N148" s="126"/>
    </row>
    <row r="149" spans="2:14" ht="12.75" customHeight="1">
      <c r="B149" s="126"/>
      <c r="C149" s="126"/>
      <c r="D149" s="126"/>
      <c r="E149" s="126"/>
      <c r="F149" s="126"/>
      <c r="G149" s="126"/>
      <c r="H149" s="126"/>
      <c r="I149" s="126"/>
      <c r="J149" s="126"/>
      <c r="K149" s="126"/>
      <c r="L149" s="126"/>
      <c r="M149" s="126"/>
      <c r="N149" s="126"/>
    </row>
    <row r="150" spans="2:14" ht="12.75" customHeight="1">
      <c r="B150" s="126"/>
      <c r="C150" s="126"/>
      <c r="D150" s="126"/>
      <c r="E150" s="126"/>
      <c r="F150" s="126"/>
      <c r="G150" s="126"/>
      <c r="H150" s="126"/>
      <c r="I150" s="126"/>
      <c r="J150" s="126"/>
      <c r="K150" s="126"/>
      <c r="L150" s="126"/>
      <c r="M150" s="126"/>
      <c r="N150" s="126"/>
    </row>
    <row r="151" spans="2:14" ht="12.75" customHeight="1">
      <c r="B151" s="126"/>
      <c r="C151" s="126"/>
      <c r="D151" s="126"/>
      <c r="E151" s="126"/>
      <c r="F151" s="126"/>
      <c r="G151" s="126"/>
      <c r="K151" s="126"/>
      <c r="L151" s="126"/>
      <c r="M151" s="126"/>
      <c r="N151" s="126"/>
    </row>
    <row r="152" spans="2:14" ht="12.75" customHeight="1">
      <c r="B152" s="110"/>
      <c r="H152" s="126"/>
      <c r="J152" s="126"/>
    </row>
    <row r="153" spans="2:14" ht="12.75" customHeight="1">
      <c r="B153" s="110"/>
    </row>
    <row r="154" spans="2:14" ht="12.75" customHeight="1">
      <c r="B154" s="110"/>
    </row>
    <row r="155" spans="2:14" ht="12.75" customHeight="1">
      <c r="B155" s="110"/>
    </row>
    <row r="156" spans="2:14" ht="12.75" customHeight="1">
      <c r="B156" s="110"/>
    </row>
    <row r="157" spans="2:14" ht="12.75" customHeight="1">
      <c r="B157" s="110"/>
    </row>
    <row r="158" spans="2:14" ht="12.75" customHeight="1">
      <c r="B158" s="110"/>
    </row>
    <row r="159" spans="2:14" ht="12.75" customHeight="1"/>
    <row r="160" spans="2:14" ht="12.75" customHeight="1"/>
    <row r="161" ht="12.75" customHeight="1"/>
    <row r="162" ht="12.75" customHeight="1"/>
  </sheetData>
  <mergeCells count="10">
    <mergeCell ref="B64:P64"/>
    <mergeCell ref="B65:P65"/>
    <mergeCell ref="B1:P1"/>
    <mergeCell ref="B2:P2"/>
    <mergeCell ref="D6:E7"/>
    <mergeCell ref="G6:H7"/>
    <mergeCell ref="J6:K7"/>
    <mergeCell ref="M6:N7"/>
    <mergeCell ref="P6:P7"/>
    <mergeCell ref="B59:M60"/>
  </mergeCells>
  <phoneticPr fontId="41" type="noConversion"/>
  <pageMargins left="0.7" right="0.45" top="0.75" bottom="0.75" header="0.3" footer="0.3"/>
  <pageSetup scale="49" orientation="portrait" r:id="rId1"/>
  <headerFooter>
    <oddHeader>&amp;C&amp;"Arial,Bold"ADDENDUM 27 TO ATTACHMENT H, Page &amp;P of &amp;N
NorthWestern Corporation (South Dakota)</oddHeader>
  </headerFooter>
  <rowBreaks count="1" manualBreakCount="1">
    <brk id="6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5564"/>
  <sheetViews>
    <sheetView topLeftCell="A76" workbookViewId="0">
      <selection activeCell="H93" sqref="H93"/>
    </sheetView>
  </sheetViews>
  <sheetFormatPr defaultColWidth="8.88671875" defaultRowHeight="13.2"/>
  <cols>
    <col min="1" max="1" width="5.6640625" style="602" customWidth="1"/>
    <col min="2" max="2" width="14.6640625" style="102" customWidth="1"/>
    <col min="3" max="3" width="1.6640625" style="102" customWidth="1"/>
    <col min="4" max="4" width="55.6640625" style="102" customWidth="1"/>
    <col min="5" max="5" width="1.6640625" style="102" customWidth="1"/>
    <col min="6" max="6" width="16.6640625" style="102" customWidth="1"/>
    <col min="7" max="7" width="1.6640625" style="102" customWidth="1"/>
    <col min="8" max="8" width="18.6640625" style="602" customWidth="1"/>
    <col min="9" max="9" width="4.6640625" style="102" customWidth="1"/>
    <col min="10" max="10" width="2.88671875" style="102" customWidth="1"/>
    <col min="11" max="11" width="16.6640625" style="102" customWidth="1"/>
    <col min="12" max="12" width="14.6640625" style="102" customWidth="1"/>
    <col min="13" max="13" width="34.88671875" style="102" bestFit="1" customWidth="1"/>
    <col min="14" max="14" width="8.88671875" style="549"/>
    <col min="15" max="16384" width="8.88671875" style="102"/>
  </cols>
  <sheetData>
    <row r="1" spans="1:12" ht="21">
      <c r="A1" s="1123" t="s">
        <v>725</v>
      </c>
      <c r="B1" s="1124"/>
      <c r="C1" s="1124"/>
      <c r="D1" s="1124"/>
      <c r="E1" s="1124"/>
      <c r="F1" s="1124"/>
      <c r="G1" s="1124"/>
      <c r="H1" s="1124"/>
      <c r="I1" s="1124"/>
      <c r="J1" s="1124"/>
      <c r="K1" s="1124"/>
      <c r="L1" s="103"/>
    </row>
    <row r="2" spans="1:12" ht="18">
      <c r="A2" s="1125" t="str">
        <f>'5-CostSupport'!A3:L3</f>
        <v>(For Rate Year Beginning April 1, 2026, Based on December 31, 2025 Data)</v>
      </c>
      <c r="B2" s="1124"/>
      <c r="C2" s="1124"/>
      <c r="D2" s="1124"/>
      <c r="E2" s="1124"/>
      <c r="F2" s="1124"/>
      <c r="G2" s="1124"/>
      <c r="H2" s="1124"/>
      <c r="I2" s="1124"/>
      <c r="J2" s="1124"/>
      <c r="K2" s="1124"/>
    </row>
    <row r="3" spans="1:12" ht="15.6">
      <c r="B3" s="551"/>
      <c r="C3" s="551"/>
      <c r="D3" s="551"/>
      <c r="E3" s="551"/>
      <c r="F3" s="552"/>
      <c r="G3" s="552"/>
      <c r="H3" s="552"/>
      <c r="I3" s="550"/>
      <c r="J3" s="550"/>
      <c r="K3" s="550"/>
    </row>
    <row r="4" spans="1:12" ht="17.399999999999999">
      <c r="A4" s="114" t="s">
        <v>244</v>
      </c>
      <c r="B4" s="577" t="s">
        <v>726</v>
      </c>
      <c r="C4" s="577"/>
      <c r="D4" s="577" t="s">
        <v>257</v>
      </c>
      <c r="E4" s="577"/>
      <c r="F4" s="601"/>
      <c r="G4" s="578"/>
      <c r="H4" s="738" t="s">
        <v>1770</v>
      </c>
      <c r="I4" s="550"/>
      <c r="J4" s="550"/>
      <c r="K4" s="550"/>
    </row>
    <row r="5" spans="1:12" ht="18" customHeight="1">
      <c r="B5" s="551"/>
      <c r="C5" s="551"/>
      <c r="D5" s="579"/>
      <c r="E5" s="551"/>
      <c r="F5" s="553"/>
      <c r="G5" s="553"/>
      <c r="H5" s="553"/>
      <c r="I5" s="550"/>
      <c r="J5" s="550"/>
      <c r="K5" s="550"/>
    </row>
    <row r="6" spans="1:12" ht="18" customHeight="1">
      <c r="A6" s="903">
        <v>1</v>
      </c>
      <c r="B6" s="551"/>
      <c r="C6" s="551"/>
      <c r="D6" s="579" t="s">
        <v>821</v>
      </c>
      <c r="E6" s="551"/>
      <c r="I6" s="550"/>
      <c r="J6" s="550"/>
      <c r="K6" s="550"/>
    </row>
    <row r="7" spans="1:12" ht="18" customHeight="1">
      <c r="A7" s="903">
        <v>2</v>
      </c>
      <c r="B7" s="580">
        <v>310</v>
      </c>
      <c r="C7" s="551"/>
      <c r="D7" s="579" t="s">
        <v>822</v>
      </c>
      <c r="E7" s="551"/>
      <c r="F7" s="581"/>
      <c r="G7" s="553"/>
      <c r="H7" s="603">
        <v>0</v>
      </c>
      <c r="I7" s="550"/>
      <c r="J7" s="550"/>
      <c r="K7" s="550"/>
    </row>
    <row r="8" spans="1:12" ht="18" customHeight="1">
      <c r="A8" s="903">
        <v>3</v>
      </c>
      <c r="B8" s="580">
        <v>311</v>
      </c>
      <c r="C8" s="551"/>
      <c r="D8" s="579" t="s">
        <v>823</v>
      </c>
      <c r="E8" s="551"/>
      <c r="F8" s="581"/>
      <c r="G8" s="553"/>
      <c r="H8" s="603">
        <v>4.4000000000000003E-3</v>
      </c>
      <c r="I8" s="550"/>
      <c r="J8" s="550"/>
      <c r="K8" s="550"/>
    </row>
    <row r="9" spans="1:12" ht="18" customHeight="1">
      <c r="A9" s="903">
        <v>4</v>
      </c>
      <c r="B9" s="580">
        <v>312</v>
      </c>
      <c r="C9" s="551"/>
      <c r="D9" s="579" t="s">
        <v>824</v>
      </c>
      <c r="E9" s="551"/>
      <c r="F9" s="581"/>
      <c r="G9" s="553"/>
      <c r="H9" s="603">
        <v>4.2099999999999999E-2</v>
      </c>
      <c r="I9" s="550"/>
      <c r="J9" s="550"/>
      <c r="K9" s="550"/>
    </row>
    <row r="10" spans="1:12" ht="15" customHeight="1">
      <c r="A10" s="903">
        <v>5</v>
      </c>
      <c r="B10" s="580">
        <v>314</v>
      </c>
      <c r="C10" s="551"/>
      <c r="D10" s="579" t="s">
        <v>825</v>
      </c>
      <c r="E10" s="551"/>
      <c r="F10" s="581"/>
      <c r="G10" s="553"/>
      <c r="H10" s="603">
        <v>1.4999999999999999E-2</v>
      </c>
      <c r="I10" s="550"/>
      <c r="J10" s="550"/>
      <c r="K10" s="550"/>
    </row>
    <row r="11" spans="1:12" ht="18" customHeight="1">
      <c r="A11" s="903">
        <v>6</v>
      </c>
      <c r="B11" s="580">
        <v>315</v>
      </c>
      <c r="C11" s="551"/>
      <c r="D11" s="579" t="s">
        <v>826</v>
      </c>
      <c r="E11" s="551"/>
      <c r="F11" s="581"/>
      <c r="G11" s="553"/>
      <c r="H11" s="603">
        <v>2.0199999999999999E-2</v>
      </c>
      <c r="I11" s="550"/>
      <c r="J11" s="550"/>
      <c r="K11" s="550"/>
    </row>
    <row r="12" spans="1:12" ht="18" customHeight="1">
      <c r="A12" s="903">
        <v>7</v>
      </c>
      <c r="B12" s="580">
        <v>316</v>
      </c>
      <c r="C12" s="551"/>
      <c r="D12" s="579" t="s">
        <v>827</v>
      </c>
      <c r="E12" s="551"/>
      <c r="F12" s="581"/>
      <c r="G12" s="553"/>
      <c r="H12" s="603">
        <v>5.1499999999999997E-2</v>
      </c>
      <c r="I12" s="550"/>
      <c r="J12" s="550"/>
      <c r="K12" s="550"/>
    </row>
    <row r="13" spans="1:12" ht="18" customHeight="1">
      <c r="A13" s="903">
        <v>8</v>
      </c>
      <c r="B13" s="582"/>
      <c r="C13" s="551"/>
      <c r="D13" s="579" t="s">
        <v>828</v>
      </c>
      <c r="E13" s="551"/>
      <c r="F13" s="583"/>
      <c r="G13" s="553"/>
      <c r="H13" s="604"/>
      <c r="I13" s="550"/>
      <c r="J13" s="550"/>
      <c r="K13" s="550"/>
      <c r="L13" s="446"/>
    </row>
    <row r="14" spans="1:12" ht="18" customHeight="1">
      <c r="A14" s="903">
        <v>9</v>
      </c>
      <c r="B14" s="580">
        <v>310</v>
      </c>
      <c r="C14" s="551"/>
      <c r="D14" s="579" t="s">
        <v>829</v>
      </c>
      <c r="E14" s="551"/>
      <c r="F14" s="581"/>
      <c r="G14" s="553"/>
      <c r="H14" s="603">
        <v>0</v>
      </c>
      <c r="I14" s="550"/>
      <c r="J14" s="550"/>
      <c r="K14" s="550"/>
      <c r="L14" s="447"/>
    </row>
    <row r="15" spans="1:12" ht="18" customHeight="1">
      <c r="A15" s="903">
        <v>10</v>
      </c>
      <c r="B15" s="580">
        <v>311</v>
      </c>
      <c r="C15" s="551"/>
      <c r="D15" s="579" t="s">
        <v>830</v>
      </c>
      <c r="E15" s="551"/>
      <c r="F15" s="581"/>
      <c r="G15" s="553"/>
      <c r="H15" s="603">
        <v>1.01E-2</v>
      </c>
      <c r="I15" s="550"/>
      <c r="J15" s="550"/>
      <c r="K15" s="550"/>
      <c r="L15" s="448"/>
    </row>
    <row r="16" spans="1:12" ht="18" customHeight="1">
      <c r="A16" s="903">
        <v>11</v>
      </c>
      <c r="B16" s="580">
        <v>312</v>
      </c>
      <c r="C16" s="551"/>
      <c r="D16" s="579" t="s">
        <v>831</v>
      </c>
      <c r="E16" s="551"/>
      <c r="F16" s="581"/>
      <c r="G16" s="553"/>
      <c r="H16" s="603">
        <v>2.0500000000000001E-2</v>
      </c>
      <c r="I16" s="550"/>
      <c r="J16" s="550"/>
      <c r="K16" s="550"/>
      <c r="L16" s="146"/>
    </row>
    <row r="17" spans="1:12" ht="18" customHeight="1">
      <c r="A17" s="903">
        <v>12</v>
      </c>
      <c r="B17" s="580">
        <v>314</v>
      </c>
      <c r="C17" s="551"/>
      <c r="D17" s="579" t="s">
        <v>832</v>
      </c>
      <c r="E17" s="551"/>
      <c r="F17" s="581"/>
      <c r="G17" s="553"/>
      <c r="H17" s="603">
        <v>1.7899999999999999E-2</v>
      </c>
      <c r="I17" s="550"/>
      <c r="J17" s="550"/>
      <c r="K17" s="550"/>
      <c r="L17" s="146"/>
    </row>
    <row r="18" spans="1:12" ht="18" customHeight="1">
      <c r="A18" s="903">
        <v>13</v>
      </c>
      <c r="B18" s="580">
        <v>315</v>
      </c>
      <c r="C18" s="551"/>
      <c r="D18" s="579" t="s">
        <v>833</v>
      </c>
      <c r="E18" s="551"/>
      <c r="F18" s="581"/>
      <c r="G18" s="553"/>
      <c r="H18" s="603">
        <v>1.1599999999999999E-2</v>
      </c>
      <c r="I18" s="550"/>
      <c r="J18" s="550"/>
      <c r="K18" s="550"/>
      <c r="L18" s="146"/>
    </row>
    <row r="19" spans="1:12" ht="18" customHeight="1">
      <c r="A19" s="903">
        <v>14</v>
      </c>
      <c r="B19" s="580">
        <v>316</v>
      </c>
      <c r="C19" s="551"/>
      <c r="D19" s="579" t="s">
        <v>834</v>
      </c>
      <c r="E19" s="551"/>
      <c r="F19" s="581"/>
      <c r="G19" s="553"/>
      <c r="H19" s="603">
        <v>3.5000000000000003E-2</v>
      </c>
      <c r="I19" s="550"/>
      <c r="J19" s="550"/>
      <c r="K19" s="550"/>
      <c r="L19" s="450"/>
    </row>
    <row r="20" spans="1:12" ht="18" customHeight="1">
      <c r="A20" s="903">
        <v>15</v>
      </c>
      <c r="B20" s="582"/>
      <c r="C20" s="551"/>
      <c r="D20" s="579" t="s">
        <v>835</v>
      </c>
      <c r="E20" s="551"/>
      <c r="F20" s="583"/>
      <c r="G20" s="553"/>
      <c r="H20" s="604"/>
      <c r="I20" s="550"/>
      <c r="J20" s="550"/>
      <c r="K20" s="550"/>
      <c r="L20" s="450"/>
    </row>
    <row r="21" spans="1:12" ht="18" customHeight="1">
      <c r="A21" s="903">
        <v>16</v>
      </c>
      <c r="B21" s="580">
        <v>311</v>
      </c>
      <c r="C21" s="551"/>
      <c r="D21" s="579" t="s">
        <v>836</v>
      </c>
      <c r="E21" s="551"/>
      <c r="F21" s="581"/>
      <c r="G21" s="553"/>
      <c r="H21" s="603">
        <v>2.9899999999999999E-2</v>
      </c>
      <c r="I21" s="550"/>
      <c r="J21" s="550"/>
      <c r="K21" s="550"/>
      <c r="L21" s="449"/>
    </row>
    <row r="22" spans="1:12" ht="18" customHeight="1">
      <c r="A22" s="613">
        <v>17</v>
      </c>
      <c r="B22" s="580">
        <v>312</v>
      </c>
      <c r="C22" s="551"/>
      <c r="D22" s="579" t="s">
        <v>837</v>
      </c>
      <c r="E22" s="551"/>
      <c r="F22" s="581"/>
      <c r="G22" s="553"/>
      <c r="H22" s="603">
        <v>2.8799999999999999E-2</v>
      </c>
      <c r="I22" s="550"/>
      <c r="J22" s="550"/>
      <c r="K22" s="550"/>
      <c r="L22" s="450"/>
    </row>
    <row r="23" spans="1:12" ht="18" customHeight="1">
      <c r="A23" s="613">
        <v>18</v>
      </c>
      <c r="B23" s="580">
        <v>314</v>
      </c>
      <c r="C23" s="551"/>
      <c r="D23" s="579" t="s">
        <v>838</v>
      </c>
      <c r="E23" s="551"/>
      <c r="F23" s="581"/>
      <c r="G23" s="553"/>
      <c r="H23" s="603">
        <v>2.23E-2</v>
      </c>
      <c r="I23" s="550"/>
      <c r="J23" s="550"/>
      <c r="K23" s="550"/>
      <c r="L23" s="450"/>
    </row>
    <row r="24" spans="1:12" ht="18" customHeight="1">
      <c r="A24" s="903">
        <v>19</v>
      </c>
      <c r="B24" s="580">
        <v>315</v>
      </c>
      <c r="C24" s="551"/>
      <c r="D24" s="579" t="s">
        <v>839</v>
      </c>
      <c r="E24" s="551"/>
      <c r="F24" s="581"/>
      <c r="G24" s="553"/>
      <c r="H24" s="603">
        <v>2.9600000000000001E-2</v>
      </c>
      <c r="I24" s="550"/>
      <c r="J24" s="550"/>
      <c r="K24" s="550"/>
      <c r="L24" s="450"/>
    </row>
    <row r="25" spans="1:12" ht="18" customHeight="1">
      <c r="A25" s="613">
        <v>20</v>
      </c>
      <c r="B25" s="580">
        <v>316</v>
      </c>
      <c r="C25" s="551"/>
      <c r="D25" s="579" t="s">
        <v>840</v>
      </c>
      <c r="E25" s="551"/>
      <c r="F25" s="581"/>
      <c r="G25" s="553"/>
      <c r="H25" s="603">
        <v>5.0200000000000002E-2</v>
      </c>
      <c r="I25" s="550"/>
      <c r="J25" s="550"/>
      <c r="K25" s="550"/>
      <c r="L25" s="450"/>
    </row>
    <row r="26" spans="1:12" ht="18" customHeight="1">
      <c r="A26" s="613">
        <v>21</v>
      </c>
      <c r="B26" s="580"/>
      <c r="C26" s="551"/>
      <c r="D26" s="579" t="s">
        <v>841</v>
      </c>
      <c r="E26" s="551"/>
      <c r="F26" s="584"/>
      <c r="G26" s="553"/>
      <c r="H26" s="584"/>
      <c r="I26" s="550"/>
      <c r="J26" s="550"/>
      <c r="K26" s="550"/>
      <c r="L26" s="450"/>
    </row>
    <row r="27" spans="1:12" ht="18" customHeight="1">
      <c r="A27" s="903">
        <v>22</v>
      </c>
      <c r="B27" s="580">
        <v>340</v>
      </c>
      <c r="C27" s="551"/>
      <c r="D27" s="579" t="s">
        <v>842</v>
      </c>
      <c r="E27" s="551"/>
      <c r="F27" s="584"/>
      <c r="G27" s="553"/>
      <c r="H27" s="584">
        <v>0</v>
      </c>
      <c r="I27" s="550"/>
      <c r="J27" s="550"/>
      <c r="K27" s="550"/>
      <c r="L27" s="450"/>
    </row>
    <row r="28" spans="1:12" ht="18" customHeight="1">
      <c r="A28" s="613">
        <v>23</v>
      </c>
      <c r="B28" s="580">
        <v>341</v>
      </c>
      <c r="C28" s="551"/>
      <c r="D28" s="579" t="s">
        <v>843</v>
      </c>
      <c r="E28" s="551"/>
      <c r="F28" s="584"/>
      <c r="G28" s="553"/>
      <c r="H28" s="584">
        <v>2.81E-2</v>
      </c>
      <c r="I28" s="550"/>
      <c r="J28" s="550"/>
      <c r="K28" s="550"/>
      <c r="L28" s="450"/>
    </row>
    <row r="29" spans="1:12" ht="18" customHeight="1">
      <c r="A29" s="613">
        <v>24</v>
      </c>
      <c r="B29" s="580">
        <v>342</v>
      </c>
      <c r="C29" s="551"/>
      <c r="D29" s="579" t="s">
        <v>844</v>
      </c>
      <c r="E29" s="551"/>
      <c r="F29" s="584"/>
      <c r="G29" s="553"/>
      <c r="H29" s="584">
        <v>2.2800000000000001E-2</v>
      </c>
      <c r="I29" s="550"/>
      <c r="J29" s="550"/>
      <c r="K29" s="550"/>
      <c r="L29" s="450"/>
    </row>
    <row r="30" spans="1:12" ht="15.6">
      <c r="A30" s="903">
        <v>25</v>
      </c>
      <c r="B30" s="580">
        <v>342</v>
      </c>
      <c r="C30" s="551"/>
      <c r="D30" s="579" t="s">
        <v>845</v>
      </c>
      <c r="E30" s="551"/>
      <c r="F30" s="584"/>
      <c r="G30" s="553"/>
      <c r="H30" s="584">
        <v>2.4899999999999999E-2</v>
      </c>
      <c r="I30" s="550"/>
      <c r="J30" s="550"/>
      <c r="K30" s="550"/>
      <c r="L30" s="450"/>
    </row>
    <row r="31" spans="1:12" ht="15.6">
      <c r="A31" s="613">
        <v>26</v>
      </c>
      <c r="B31" s="580">
        <v>342</v>
      </c>
      <c r="C31" s="551"/>
      <c r="D31" s="579" t="s">
        <v>846</v>
      </c>
      <c r="E31" s="551"/>
      <c r="F31" s="584"/>
      <c r="G31" s="553"/>
      <c r="H31" s="584">
        <v>1.9699999999999999E-2</v>
      </c>
      <c r="I31" s="550"/>
      <c r="J31" s="550"/>
      <c r="K31" s="550"/>
      <c r="L31" s="450"/>
    </row>
    <row r="32" spans="1:12" ht="18" customHeight="1">
      <c r="A32" s="613">
        <v>27</v>
      </c>
      <c r="B32" s="580">
        <v>343</v>
      </c>
      <c r="C32" s="551"/>
      <c r="D32" s="579" t="s">
        <v>847</v>
      </c>
      <c r="E32" s="551"/>
      <c r="F32" s="584"/>
      <c r="G32" s="553"/>
      <c r="H32" s="584">
        <v>2.2599999999999999E-2</v>
      </c>
      <c r="I32" s="550"/>
      <c r="J32" s="550"/>
      <c r="K32" s="550"/>
      <c r="L32" s="450"/>
    </row>
    <row r="33" spans="1:12" ht="18" customHeight="1">
      <c r="A33" s="903">
        <v>28</v>
      </c>
      <c r="B33" s="580">
        <v>344</v>
      </c>
      <c r="C33" s="551"/>
      <c r="D33" s="579" t="s">
        <v>848</v>
      </c>
      <c r="E33" s="551"/>
      <c r="F33" s="584"/>
      <c r="G33" s="553"/>
      <c r="H33" s="584">
        <v>3.2800000000000003E-2</v>
      </c>
      <c r="I33" s="550"/>
      <c r="J33" s="550"/>
      <c r="K33" s="550"/>
      <c r="L33" s="450"/>
    </row>
    <row r="34" spans="1:12" ht="15.6">
      <c r="A34" s="613">
        <v>29</v>
      </c>
      <c r="B34" s="580">
        <v>345</v>
      </c>
      <c r="C34" s="551"/>
      <c r="D34" s="579" t="s">
        <v>849</v>
      </c>
      <c r="E34" s="551"/>
      <c r="F34" s="584"/>
      <c r="G34" s="553"/>
      <c r="H34" s="584">
        <v>3.4500000000000003E-2</v>
      </c>
      <c r="I34" s="550"/>
      <c r="J34" s="550"/>
      <c r="K34" s="550"/>
      <c r="L34" s="450"/>
    </row>
    <row r="35" spans="1:12" ht="15.6">
      <c r="A35" s="613">
        <v>30</v>
      </c>
      <c r="B35" s="580">
        <v>346</v>
      </c>
      <c r="C35" s="551"/>
      <c r="D35" s="579" t="s">
        <v>850</v>
      </c>
      <c r="E35" s="551"/>
      <c r="F35" s="584"/>
      <c r="G35" s="553"/>
      <c r="H35" s="584">
        <v>2.8199999999999999E-2</v>
      </c>
      <c r="I35" s="550"/>
      <c r="J35" s="550"/>
      <c r="K35" s="550"/>
    </row>
    <row r="36" spans="1:12" ht="15.6">
      <c r="A36" s="903">
        <v>31</v>
      </c>
      <c r="B36" s="580">
        <v>341</v>
      </c>
      <c r="C36" s="551"/>
      <c r="D36" s="579" t="s">
        <v>1688</v>
      </c>
      <c r="E36" s="551"/>
      <c r="F36" s="584"/>
      <c r="G36" s="553"/>
      <c r="H36" s="584">
        <v>3.2500000000000001E-2</v>
      </c>
      <c r="I36" s="550"/>
      <c r="J36" s="550"/>
      <c r="K36" s="550"/>
      <c r="L36" s="103"/>
    </row>
    <row r="37" spans="1:12" ht="15.6">
      <c r="A37" s="613">
        <v>32</v>
      </c>
      <c r="B37" s="580">
        <v>342</v>
      </c>
      <c r="C37" s="551"/>
      <c r="D37" s="579" t="s">
        <v>1689</v>
      </c>
      <c r="E37" s="551"/>
      <c r="F37" s="584"/>
      <c r="G37" s="553"/>
      <c r="H37" s="584">
        <v>3.2000000000000001E-2</v>
      </c>
      <c r="I37" s="550"/>
      <c r="J37" s="550"/>
      <c r="K37" s="550"/>
      <c r="L37" s="103"/>
    </row>
    <row r="38" spans="1:12" ht="15.6">
      <c r="A38" s="613">
        <v>33</v>
      </c>
      <c r="B38" s="580">
        <v>343</v>
      </c>
      <c r="C38" s="551"/>
      <c r="D38" s="579" t="s">
        <v>1690</v>
      </c>
      <c r="E38" s="551"/>
      <c r="F38" s="584"/>
      <c r="G38" s="553"/>
      <c r="H38" s="584">
        <v>3.2000000000000001E-2</v>
      </c>
      <c r="I38" s="550"/>
      <c r="J38" s="550"/>
      <c r="K38" s="550"/>
    </row>
    <row r="39" spans="1:12" ht="15.6">
      <c r="A39" s="903">
        <v>34</v>
      </c>
      <c r="B39" s="580">
        <v>344</v>
      </c>
      <c r="C39" s="551"/>
      <c r="D39" s="579" t="s">
        <v>1691</v>
      </c>
      <c r="E39" s="551"/>
      <c r="F39" s="584"/>
      <c r="G39" s="553"/>
      <c r="H39" s="584">
        <v>3.4699999999999995E-2</v>
      </c>
      <c r="I39" s="550"/>
      <c r="J39" s="550"/>
      <c r="K39" s="550"/>
    </row>
    <row r="40" spans="1:12" ht="15.6">
      <c r="A40" s="613">
        <v>35</v>
      </c>
      <c r="B40" s="580">
        <v>345</v>
      </c>
      <c r="C40" s="551"/>
      <c r="D40" s="579" t="s">
        <v>1692</v>
      </c>
      <c r="E40" s="551"/>
      <c r="F40" s="584"/>
      <c r="G40" s="553"/>
      <c r="H40" s="584">
        <v>3.4699999999999995E-2</v>
      </c>
      <c r="I40" s="550"/>
      <c r="J40" s="550"/>
      <c r="K40" s="550"/>
    </row>
    <row r="41" spans="1:12" ht="15.6">
      <c r="A41" s="613">
        <v>36</v>
      </c>
      <c r="B41" s="580">
        <v>346</v>
      </c>
      <c r="C41" s="551"/>
      <c r="D41" s="579" t="s">
        <v>1693</v>
      </c>
      <c r="E41" s="551"/>
      <c r="F41" s="584"/>
      <c r="G41" s="553"/>
      <c r="H41" s="584">
        <v>3.61E-2</v>
      </c>
      <c r="I41" s="550"/>
      <c r="J41" s="550"/>
      <c r="K41" s="550"/>
    </row>
    <row r="42" spans="1:12" ht="15.6">
      <c r="A42" s="903">
        <v>37</v>
      </c>
      <c r="B42" s="580">
        <v>341</v>
      </c>
      <c r="C42" s="551"/>
      <c r="D42" s="579" t="s">
        <v>1694</v>
      </c>
      <c r="E42" s="551"/>
      <c r="F42" s="584"/>
      <c r="G42" s="553"/>
      <c r="H42" s="584">
        <v>3.2599999999999997E-2</v>
      </c>
      <c r="I42" s="550"/>
      <c r="J42" s="550"/>
      <c r="K42" s="550"/>
    </row>
    <row r="43" spans="1:12" ht="15.6">
      <c r="A43" s="613">
        <v>38</v>
      </c>
      <c r="B43" s="580">
        <v>344</v>
      </c>
      <c r="C43" s="551"/>
      <c r="D43" s="579" t="s">
        <v>1695</v>
      </c>
      <c r="E43" s="551"/>
      <c r="F43" s="584"/>
      <c r="G43" s="553"/>
      <c r="H43" s="584">
        <v>3.9E-2</v>
      </c>
      <c r="I43" s="550"/>
      <c r="J43" s="550"/>
      <c r="K43" s="550"/>
    </row>
    <row r="44" spans="1:12" ht="15.6">
      <c r="A44" s="613">
        <v>39</v>
      </c>
      <c r="B44" s="580">
        <v>345</v>
      </c>
      <c r="C44" s="551"/>
      <c r="D44" s="579" t="s">
        <v>1696</v>
      </c>
      <c r="E44" s="551"/>
      <c r="F44" s="584"/>
      <c r="G44" s="553"/>
      <c r="H44" s="584">
        <v>3.7900000000000003E-2</v>
      </c>
      <c r="I44" s="550"/>
      <c r="J44" s="550"/>
      <c r="K44" s="550"/>
    </row>
    <row r="45" spans="1:12" ht="15.6">
      <c r="A45" s="903">
        <v>40</v>
      </c>
      <c r="B45" s="580">
        <v>346</v>
      </c>
      <c r="C45" s="551"/>
      <c r="D45" s="579" t="s">
        <v>1697</v>
      </c>
      <c r="E45" s="551"/>
      <c r="F45" s="585"/>
      <c r="G45" s="553"/>
      <c r="H45" s="605">
        <v>3.6900000000000002E-2</v>
      </c>
      <c r="I45" s="550"/>
      <c r="J45" s="550"/>
      <c r="K45" s="550"/>
    </row>
    <row r="46" spans="1:12" ht="15.6">
      <c r="A46" s="613">
        <v>41</v>
      </c>
      <c r="B46" s="580"/>
      <c r="C46" s="551"/>
      <c r="D46" s="579" t="s">
        <v>851</v>
      </c>
      <c r="E46" s="551"/>
      <c r="F46" s="584"/>
      <c r="G46" s="553"/>
      <c r="H46" s="584"/>
      <c r="I46" s="550"/>
      <c r="J46" s="550"/>
      <c r="K46" s="550"/>
    </row>
    <row r="47" spans="1:12" ht="15.6">
      <c r="A47" s="613">
        <v>42</v>
      </c>
      <c r="B47" s="580">
        <v>350</v>
      </c>
      <c r="C47" s="551"/>
      <c r="D47" s="579" t="s">
        <v>774</v>
      </c>
      <c r="E47" s="551"/>
      <c r="F47" s="584"/>
      <c r="G47" s="553"/>
      <c r="H47" s="584">
        <v>0</v>
      </c>
      <c r="I47" s="550"/>
      <c r="J47" s="550"/>
      <c r="K47" s="550"/>
    </row>
    <row r="48" spans="1:12" ht="15.6">
      <c r="A48" s="903">
        <v>43</v>
      </c>
      <c r="B48" s="580">
        <v>350</v>
      </c>
      <c r="C48" s="551"/>
      <c r="D48" s="579" t="s">
        <v>852</v>
      </c>
      <c r="E48" s="551"/>
      <c r="F48" s="584"/>
      <c r="G48" s="553"/>
      <c r="H48" s="584">
        <v>0</v>
      </c>
      <c r="I48" s="550"/>
      <c r="J48" s="550"/>
      <c r="K48" s="550"/>
    </row>
    <row r="49" spans="1:11" ht="15.6">
      <c r="A49" s="613">
        <v>44</v>
      </c>
      <c r="B49" s="580">
        <v>352</v>
      </c>
      <c r="C49" s="551"/>
      <c r="D49" s="579" t="s">
        <v>853</v>
      </c>
      <c r="E49" s="551"/>
      <c r="F49" s="584"/>
      <c r="G49" s="553"/>
      <c r="H49" s="584">
        <v>1.67E-2</v>
      </c>
      <c r="I49" s="550"/>
      <c r="J49" s="550"/>
      <c r="K49" s="550"/>
    </row>
    <row r="50" spans="1:11" ht="15.6">
      <c r="A50" s="613">
        <v>45</v>
      </c>
      <c r="B50" s="580">
        <v>353</v>
      </c>
      <c r="C50" s="551"/>
      <c r="D50" s="579" t="s">
        <v>854</v>
      </c>
      <c r="E50" s="551"/>
      <c r="F50" s="584"/>
      <c r="G50" s="553"/>
      <c r="H50" s="584">
        <v>2.6700000000000002E-2</v>
      </c>
      <c r="I50" s="550"/>
      <c r="J50" s="550"/>
      <c r="K50" s="550"/>
    </row>
    <row r="51" spans="1:11" ht="15.6">
      <c r="A51" s="903">
        <v>46</v>
      </c>
      <c r="B51" s="580">
        <v>355</v>
      </c>
      <c r="C51" s="551"/>
      <c r="D51" s="579" t="s">
        <v>778</v>
      </c>
      <c r="E51" s="551"/>
      <c r="F51" s="584"/>
      <c r="G51" s="553"/>
      <c r="H51" s="584">
        <v>2.9100000000000001E-2</v>
      </c>
      <c r="I51" s="550"/>
      <c r="J51" s="550"/>
      <c r="K51" s="550"/>
    </row>
    <row r="52" spans="1:11" ht="15.6">
      <c r="A52" s="613">
        <v>47</v>
      </c>
      <c r="B52" s="580">
        <v>356</v>
      </c>
      <c r="C52" s="551"/>
      <c r="D52" s="579" t="s">
        <v>855</v>
      </c>
      <c r="E52" s="551"/>
      <c r="F52" s="584"/>
      <c r="G52" s="553"/>
      <c r="H52" s="584">
        <v>2.3300000000000001E-2</v>
      </c>
      <c r="I52" s="550"/>
      <c r="J52" s="550"/>
      <c r="K52" s="550"/>
    </row>
    <row r="53" spans="1:11" ht="15.6">
      <c r="A53" s="613">
        <v>48</v>
      </c>
      <c r="B53" s="580">
        <v>357</v>
      </c>
      <c r="C53" s="551"/>
      <c r="D53" s="579" t="s">
        <v>856</v>
      </c>
      <c r="E53" s="551"/>
      <c r="F53" s="584"/>
      <c r="G53" s="553"/>
      <c r="H53" s="584">
        <v>1.7600000000000001E-2</v>
      </c>
      <c r="I53" s="550"/>
      <c r="J53" s="550"/>
      <c r="K53" s="550"/>
    </row>
    <row r="54" spans="1:11" ht="15.6">
      <c r="A54" s="903">
        <v>49</v>
      </c>
      <c r="B54" s="580">
        <v>358</v>
      </c>
      <c r="C54" s="551"/>
      <c r="D54" s="579" t="s">
        <v>857</v>
      </c>
      <c r="E54" s="551"/>
      <c r="F54" s="584"/>
      <c r="G54" s="553"/>
      <c r="H54" s="584">
        <v>2.41E-2</v>
      </c>
      <c r="I54" s="550"/>
      <c r="J54" s="550"/>
      <c r="K54" s="550"/>
    </row>
    <row r="55" spans="1:11" ht="15.6">
      <c r="A55" s="613">
        <v>50</v>
      </c>
      <c r="B55" s="580"/>
      <c r="C55" s="551"/>
      <c r="D55" s="579" t="s">
        <v>858</v>
      </c>
      <c r="E55" s="551"/>
      <c r="F55" s="584"/>
      <c r="G55" s="553"/>
      <c r="H55" s="584"/>
      <c r="I55" s="550"/>
      <c r="J55" s="550"/>
      <c r="K55" s="550"/>
    </row>
    <row r="56" spans="1:11" ht="15.6">
      <c r="A56" s="613">
        <v>51</v>
      </c>
      <c r="B56" s="580">
        <v>360</v>
      </c>
      <c r="C56" s="551"/>
      <c r="D56" s="579" t="s">
        <v>859</v>
      </c>
      <c r="E56" s="551"/>
      <c r="F56" s="584"/>
      <c r="G56" s="553"/>
      <c r="H56" s="584">
        <v>0</v>
      </c>
      <c r="I56" s="550"/>
      <c r="J56" s="550"/>
      <c r="K56" s="550"/>
    </row>
    <row r="57" spans="1:11" ht="15.6">
      <c r="A57" s="903">
        <v>52</v>
      </c>
      <c r="B57" s="580">
        <v>360</v>
      </c>
      <c r="C57" s="551"/>
      <c r="D57" s="579" t="s">
        <v>860</v>
      </c>
      <c r="E57" s="551"/>
      <c r="F57" s="584"/>
      <c r="G57" s="553"/>
      <c r="H57" s="584">
        <v>0</v>
      </c>
      <c r="I57" s="550"/>
      <c r="J57" s="550"/>
      <c r="K57" s="550"/>
    </row>
    <row r="58" spans="1:11" ht="15.6">
      <c r="A58" s="613">
        <v>53</v>
      </c>
      <c r="B58" s="580">
        <v>361</v>
      </c>
      <c r="C58" s="551"/>
      <c r="D58" s="579" t="s">
        <v>861</v>
      </c>
      <c r="E58" s="551"/>
      <c r="F58" s="584"/>
      <c r="G58" s="553"/>
      <c r="H58" s="584">
        <v>1.6500000000000001E-2</v>
      </c>
      <c r="I58" s="550"/>
      <c r="J58" s="550"/>
      <c r="K58" s="550"/>
    </row>
    <row r="59" spans="1:11" ht="15.6">
      <c r="A59" s="613">
        <v>54</v>
      </c>
      <c r="B59" s="580">
        <v>362</v>
      </c>
      <c r="C59" s="551"/>
      <c r="D59" s="579" t="s">
        <v>862</v>
      </c>
      <c r="E59" s="551"/>
      <c r="F59" s="584"/>
      <c r="G59" s="553"/>
      <c r="H59" s="584">
        <v>2.7099999999999999E-2</v>
      </c>
      <c r="I59" s="550"/>
      <c r="J59" s="550"/>
      <c r="K59" s="550"/>
    </row>
    <row r="60" spans="1:11" ht="15.6">
      <c r="A60" s="903">
        <v>55</v>
      </c>
      <c r="B60" s="580">
        <v>364</v>
      </c>
      <c r="C60" s="551"/>
      <c r="D60" s="579" t="s">
        <v>863</v>
      </c>
      <c r="E60" s="551"/>
      <c r="F60" s="586"/>
      <c r="G60" s="553"/>
      <c r="H60" s="872">
        <v>4.2500000000000003E-2</v>
      </c>
      <c r="I60" s="550"/>
      <c r="J60" s="550"/>
      <c r="K60" s="550"/>
    </row>
    <row r="61" spans="1:11" ht="15.6">
      <c r="A61" s="613">
        <v>56</v>
      </c>
      <c r="B61" s="580">
        <v>365</v>
      </c>
      <c r="C61" s="551"/>
      <c r="D61" s="579" t="s">
        <v>864</v>
      </c>
      <c r="E61" s="551"/>
      <c r="F61" s="581"/>
      <c r="G61" s="553"/>
      <c r="H61" s="603">
        <v>6.1199999999999997E-2</v>
      </c>
      <c r="I61" s="550"/>
      <c r="J61" s="550"/>
      <c r="K61" s="550"/>
    </row>
    <row r="62" spans="1:11" ht="15.6">
      <c r="A62" s="613">
        <v>57</v>
      </c>
      <c r="B62" s="580">
        <v>366</v>
      </c>
      <c r="C62" s="551"/>
      <c r="D62" s="579" t="s">
        <v>865</v>
      </c>
      <c r="E62" s="551"/>
      <c r="F62" s="581"/>
      <c r="G62" s="553"/>
      <c r="H62" s="603">
        <v>2.24E-2</v>
      </c>
      <c r="I62" s="550"/>
      <c r="J62" s="550"/>
      <c r="K62" s="550"/>
    </row>
    <row r="63" spans="1:11" ht="15.6">
      <c r="A63" s="903">
        <v>58</v>
      </c>
      <c r="B63" s="580">
        <v>367</v>
      </c>
      <c r="C63" s="551"/>
      <c r="D63" s="579" t="s">
        <v>866</v>
      </c>
      <c r="E63" s="551"/>
      <c r="F63" s="584"/>
      <c r="G63" s="553"/>
      <c r="H63" s="584">
        <v>3.7400000000000003E-2</v>
      </c>
      <c r="I63" s="550"/>
      <c r="J63" s="550"/>
      <c r="K63" s="550"/>
    </row>
    <row r="64" spans="1:11" ht="15.6">
      <c r="A64" s="613">
        <v>59</v>
      </c>
      <c r="B64" s="580">
        <v>368</v>
      </c>
      <c r="C64" s="551"/>
      <c r="D64" s="579" t="s">
        <v>867</v>
      </c>
      <c r="E64" s="551"/>
      <c r="F64" s="584"/>
      <c r="G64" s="553"/>
      <c r="H64" s="584">
        <v>2.6599999999999999E-2</v>
      </c>
      <c r="I64" s="550"/>
      <c r="J64" s="550"/>
      <c r="K64" s="550"/>
    </row>
    <row r="65" spans="1:11" ht="15.6">
      <c r="A65" s="613">
        <v>60</v>
      </c>
      <c r="B65" s="580">
        <v>369</v>
      </c>
      <c r="C65" s="551"/>
      <c r="D65" s="579" t="s">
        <v>868</v>
      </c>
      <c r="E65" s="551"/>
      <c r="F65" s="584"/>
      <c r="G65" s="553"/>
      <c r="H65" s="584">
        <v>3.0200000000000001E-2</v>
      </c>
      <c r="I65" s="550"/>
      <c r="J65" s="550"/>
      <c r="K65" s="550"/>
    </row>
    <row r="66" spans="1:11" ht="15.6">
      <c r="A66" s="903">
        <v>61</v>
      </c>
      <c r="B66" s="580">
        <v>369</v>
      </c>
      <c r="C66" s="551"/>
      <c r="D66" s="579" t="s">
        <v>869</v>
      </c>
      <c r="E66" s="551"/>
      <c r="F66" s="584"/>
      <c r="G66" s="553"/>
      <c r="H66" s="584">
        <v>3.6600000000000001E-2</v>
      </c>
      <c r="I66" s="550"/>
      <c r="J66" s="550"/>
      <c r="K66" s="550"/>
    </row>
    <row r="67" spans="1:11" ht="15.6">
      <c r="A67" s="613">
        <v>62</v>
      </c>
      <c r="B67" s="580">
        <v>370</v>
      </c>
      <c r="C67" s="551"/>
      <c r="D67" s="579" t="s">
        <v>870</v>
      </c>
      <c r="E67" s="551"/>
      <c r="F67" s="584"/>
      <c r="G67" s="553"/>
      <c r="H67" s="584">
        <v>0.1079</v>
      </c>
      <c r="I67" s="550"/>
      <c r="J67" s="550"/>
      <c r="K67" s="550"/>
    </row>
    <row r="68" spans="1:11" ht="15.6">
      <c r="A68" s="613">
        <v>63</v>
      </c>
      <c r="B68" s="580">
        <v>370</v>
      </c>
      <c r="C68" s="551"/>
      <c r="D68" s="579" t="s">
        <v>1510</v>
      </c>
      <c r="E68" s="551"/>
      <c r="F68" s="584"/>
      <c r="G68" s="553"/>
      <c r="H68" s="584">
        <v>7.6200000000000004E-2</v>
      </c>
      <c r="I68" s="550"/>
      <c r="J68" s="550"/>
      <c r="K68" s="550"/>
    </row>
    <row r="69" spans="1:11" ht="15.6">
      <c r="A69" s="903">
        <v>64</v>
      </c>
      <c r="B69" s="580">
        <v>371</v>
      </c>
      <c r="C69" s="551"/>
      <c r="D69" s="579" t="s">
        <v>871</v>
      </c>
      <c r="E69" s="551"/>
      <c r="F69" s="584"/>
      <c r="G69" s="553"/>
      <c r="H69" s="584">
        <v>0.1313</v>
      </c>
      <c r="I69" s="550"/>
      <c r="J69" s="550"/>
      <c r="K69" s="550"/>
    </row>
    <row r="70" spans="1:11" ht="15.6">
      <c r="A70" s="613">
        <v>65</v>
      </c>
      <c r="B70" s="580">
        <v>371</v>
      </c>
      <c r="C70" s="551"/>
      <c r="D70" s="579" t="s">
        <v>1511</v>
      </c>
      <c r="E70" s="551"/>
      <c r="F70" s="584"/>
      <c r="G70" s="553"/>
      <c r="H70" s="584">
        <v>5.6399999999999999E-2</v>
      </c>
      <c r="I70" s="550"/>
      <c r="J70" s="550"/>
      <c r="K70" s="550"/>
    </row>
    <row r="71" spans="1:11" ht="15.6">
      <c r="A71" s="613">
        <v>66</v>
      </c>
      <c r="B71" s="580">
        <v>373</v>
      </c>
      <c r="C71" s="551"/>
      <c r="D71" s="579" t="s">
        <v>872</v>
      </c>
      <c r="E71" s="551"/>
      <c r="F71" s="584"/>
      <c r="G71" s="553"/>
      <c r="H71" s="584">
        <v>3.5900000000000001E-2</v>
      </c>
      <c r="I71" s="550"/>
      <c r="J71" s="550"/>
      <c r="K71" s="550"/>
    </row>
    <row r="72" spans="1:11" ht="15.6">
      <c r="A72" s="903">
        <v>67</v>
      </c>
      <c r="B72" s="580">
        <v>373</v>
      </c>
      <c r="C72" s="551"/>
      <c r="D72" s="579" t="s">
        <v>1512</v>
      </c>
      <c r="E72" s="551"/>
      <c r="F72" s="584"/>
      <c r="G72" s="553"/>
      <c r="H72" s="584">
        <v>7.2800000000000004E-2</v>
      </c>
      <c r="I72" s="550"/>
      <c r="J72" s="550"/>
      <c r="K72" s="550"/>
    </row>
    <row r="73" spans="1:11" ht="15.6">
      <c r="A73" s="613">
        <v>68</v>
      </c>
      <c r="B73" s="580"/>
      <c r="C73" s="551"/>
      <c r="D73" s="579" t="s">
        <v>873</v>
      </c>
      <c r="E73" s="551"/>
      <c r="F73" s="584"/>
      <c r="G73" s="553"/>
      <c r="H73" s="584"/>
      <c r="I73" s="550"/>
      <c r="J73" s="550"/>
      <c r="K73" s="550"/>
    </row>
    <row r="74" spans="1:11" ht="15.6">
      <c r="A74" s="613">
        <v>69</v>
      </c>
      <c r="B74" s="580">
        <v>303</v>
      </c>
      <c r="C74" s="551"/>
      <c r="D74" s="579" t="s">
        <v>874</v>
      </c>
      <c r="E74" s="551"/>
      <c r="F74" s="584"/>
      <c r="G74" s="553"/>
      <c r="H74" s="584">
        <v>8.6599999999999996E-2</v>
      </c>
      <c r="I74" s="550"/>
      <c r="J74" s="550"/>
      <c r="K74" s="550"/>
    </row>
    <row r="75" spans="1:11" ht="15.6">
      <c r="A75" s="903">
        <v>70</v>
      </c>
      <c r="B75" s="580">
        <v>303</v>
      </c>
      <c r="C75" s="551"/>
      <c r="D75" s="579" t="s">
        <v>875</v>
      </c>
      <c r="E75" s="551"/>
      <c r="F75" s="584"/>
      <c r="G75" s="553"/>
      <c r="H75" s="584">
        <v>0.1724</v>
      </c>
      <c r="I75" s="550"/>
      <c r="J75" s="550"/>
      <c r="K75" s="550"/>
    </row>
    <row r="76" spans="1:11" ht="15.6">
      <c r="A76" s="613">
        <v>71</v>
      </c>
      <c r="B76" s="580"/>
      <c r="C76" s="551"/>
      <c r="D76" s="579" t="s">
        <v>876</v>
      </c>
      <c r="E76" s="551"/>
      <c r="F76" s="584"/>
      <c r="G76" s="553"/>
      <c r="H76" s="584"/>
      <c r="I76" s="550"/>
      <c r="J76" s="550"/>
      <c r="K76" s="550"/>
    </row>
    <row r="77" spans="1:11" ht="15.6">
      <c r="A77" s="613">
        <v>72</v>
      </c>
      <c r="B77" s="580">
        <v>389</v>
      </c>
      <c r="C77" s="551"/>
      <c r="D77" s="579" t="s">
        <v>877</v>
      </c>
      <c r="E77" s="551"/>
      <c r="F77" s="584"/>
      <c r="G77" s="553"/>
      <c r="H77" s="584">
        <v>0</v>
      </c>
      <c r="I77" s="550"/>
      <c r="J77" s="550"/>
      <c r="K77" s="550"/>
    </row>
    <row r="78" spans="1:11" ht="15.6">
      <c r="A78" s="903">
        <v>73</v>
      </c>
      <c r="B78" s="580">
        <v>390</v>
      </c>
      <c r="C78" s="551"/>
      <c r="D78" s="579" t="s">
        <v>1513</v>
      </c>
      <c r="E78" s="551"/>
      <c r="F78" s="584"/>
      <c r="G78" s="553"/>
      <c r="H78" s="584">
        <v>1.0500000000000001E-2</v>
      </c>
      <c r="I78" s="550"/>
      <c r="J78" s="550"/>
      <c r="K78" s="550"/>
    </row>
    <row r="79" spans="1:11" ht="15.6">
      <c r="A79" s="613">
        <v>74</v>
      </c>
      <c r="B79" s="580">
        <v>391</v>
      </c>
      <c r="C79" s="551"/>
      <c r="D79" s="579" t="s">
        <v>1514</v>
      </c>
      <c r="E79" s="551"/>
      <c r="F79" s="584"/>
      <c r="G79" s="553"/>
      <c r="H79" s="584">
        <v>4.1299999999999996E-2</v>
      </c>
      <c r="I79" s="550"/>
      <c r="J79" s="550"/>
      <c r="K79" s="550"/>
    </row>
    <row r="80" spans="1:11" ht="15.6">
      <c r="A80" s="613">
        <v>75</v>
      </c>
      <c r="B80" s="580">
        <v>392</v>
      </c>
      <c r="C80" s="551"/>
      <c r="D80" s="579" t="s">
        <v>878</v>
      </c>
      <c r="E80" s="551"/>
      <c r="F80" s="584"/>
      <c r="G80" s="553"/>
      <c r="H80" s="584">
        <v>2.2499999999999999E-2</v>
      </c>
      <c r="I80" s="550"/>
      <c r="J80" s="550"/>
      <c r="K80" s="550"/>
    </row>
    <row r="81" spans="1:14" ht="15.6">
      <c r="A81" s="903">
        <v>76</v>
      </c>
      <c r="B81" s="580">
        <v>392</v>
      </c>
      <c r="C81" s="551"/>
      <c r="D81" s="579" t="s">
        <v>1515</v>
      </c>
      <c r="E81" s="551"/>
      <c r="F81" s="584"/>
      <c r="G81" s="553"/>
      <c r="H81" s="584">
        <v>5.6299999999999996E-2</v>
      </c>
      <c r="I81" s="550"/>
      <c r="J81" s="550"/>
      <c r="K81" s="550"/>
    </row>
    <row r="82" spans="1:14" ht="15.6">
      <c r="A82" s="613">
        <v>77</v>
      </c>
      <c r="B82" s="580">
        <v>392</v>
      </c>
      <c r="C82" s="551"/>
      <c r="D82" s="579" t="s">
        <v>1516</v>
      </c>
      <c r="E82" s="551"/>
      <c r="F82" s="584"/>
      <c r="G82" s="553"/>
      <c r="H82" s="584">
        <v>6.4600000000000005E-2</v>
      </c>
      <c r="I82" s="550"/>
      <c r="J82" s="550"/>
      <c r="K82" s="550"/>
    </row>
    <row r="83" spans="1:14" ht="15.6">
      <c r="A83" s="613">
        <v>78</v>
      </c>
      <c r="B83" s="580">
        <v>392</v>
      </c>
      <c r="C83" s="551"/>
      <c r="D83" s="579" t="s">
        <v>1517</v>
      </c>
      <c r="E83" s="551"/>
      <c r="F83" s="584"/>
      <c r="G83" s="553"/>
      <c r="H83" s="584">
        <v>9.9000000000000008E-3</v>
      </c>
      <c r="I83" s="550"/>
      <c r="J83" s="550"/>
      <c r="K83" s="550"/>
    </row>
    <row r="84" spans="1:14" ht="15.6">
      <c r="A84" s="903">
        <v>79</v>
      </c>
      <c r="B84" s="580">
        <v>394</v>
      </c>
      <c r="C84" s="551"/>
      <c r="D84" s="579" t="s">
        <v>1518</v>
      </c>
      <c r="E84" s="551"/>
      <c r="F84" s="584"/>
      <c r="G84" s="553"/>
      <c r="H84" s="584">
        <v>6.6799999999999998E-2</v>
      </c>
      <c r="I84" s="550"/>
      <c r="J84" s="550"/>
      <c r="K84" s="550"/>
    </row>
    <row r="85" spans="1:14" ht="15.6">
      <c r="A85" s="613">
        <v>80</v>
      </c>
      <c r="B85" s="580">
        <v>396</v>
      </c>
      <c r="C85" s="551"/>
      <c r="D85" s="579" t="s">
        <v>1519</v>
      </c>
      <c r="E85" s="551"/>
      <c r="F85" s="584"/>
      <c r="G85" s="553"/>
      <c r="H85" s="584">
        <v>3.39E-2</v>
      </c>
      <c r="I85" s="550"/>
      <c r="J85" s="550"/>
      <c r="K85" s="550"/>
    </row>
    <row r="86" spans="1:14" ht="15.6">
      <c r="A86" s="613">
        <v>81</v>
      </c>
      <c r="B86" s="580">
        <v>397</v>
      </c>
      <c r="C86" s="551"/>
      <c r="D86" s="579" t="s">
        <v>1520</v>
      </c>
      <c r="E86" s="551"/>
      <c r="F86" s="584"/>
      <c r="G86" s="553"/>
      <c r="H86" s="584">
        <v>0.1011</v>
      </c>
      <c r="I86" s="550"/>
      <c r="J86" s="550"/>
      <c r="K86" s="550"/>
    </row>
    <row r="87" spans="1:14" ht="15.6">
      <c r="A87" s="903">
        <v>82</v>
      </c>
      <c r="B87" s="580">
        <v>397</v>
      </c>
      <c r="C87" s="551"/>
      <c r="D87" s="579" t="s">
        <v>879</v>
      </c>
      <c r="E87" s="551"/>
      <c r="F87" s="584"/>
      <c r="G87" s="553"/>
      <c r="H87" s="584">
        <v>0.1172</v>
      </c>
      <c r="I87" s="550"/>
      <c r="J87" s="550"/>
      <c r="K87" s="550"/>
    </row>
    <row r="88" spans="1:14" s="602" customFormat="1" ht="15.6">
      <c r="A88" s="613">
        <v>83</v>
      </c>
      <c r="B88" s="902"/>
      <c r="C88" s="551"/>
      <c r="D88" s="579" t="s">
        <v>1662</v>
      </c>
      <c r="E88" s="551"/>
      <c r="F88" s="584"/>
      <c r="G88" s="553"/>
      <c r="H88" s="584"/>
      <c r="I88" s="550"/>
      <c r="J88" s="550"/>
      <c r="K88" s="550"/>
      <c r="N88" s="901"/>
    </row>
    <row r="89" spans="1:14" s="602" customFormat="1" ht="15.6">
      <c r="A89" s="613">
        <v>84</v>
      </c>
      <c r="B89" s="902" t="s">
        <v>1663</v>
      </c>
      <c r="C89" s="551"/>
      <c r="D89" s="579" t="s">
        <v>1664</v>
      </c>
      <c r="E89" s="551"/>
      <c r="F89" s="584"/>
      <c r="G89" s="553"/>
      <c r="H89" s="584">
        <v>0.13620199999999999</v>
      </c>
      <c r="I89" s="550"/>
      <c r="J89" s="550"/>
      <c r="K89" s="550"/>
      <c r="N89" s="901"/>
    </row>
    <row r="90" spans="1:14" s="602" customFormat="1" ht="15.6">
      <c r="A90" s="903">
        <v>85</v>
      </c>
      <c r="B90" s="902" t="s">
        <v>1665</v>
      </c>
      <c r="C90" s="551"/>
      <c r="D90" s="579" t="s">
        <v>1666</v>
      </c>
      <c r="E90" s="551"/>
      <c r="F90" s="584"/>
      <c r="G90" s="553"/>
      <c r="H90" s="584">
        <v>0.2</v>
      </c>
      <c r="I90" s="550"/>
      <c r="J90" s="550"/>
      <c r="K90" s="550"/>
      <c r="N90" s="901"/>
    </row>
    <row r="91" spans="1:14" s="602" customFormat="1" ht="15.6">
      <c r="A91" s="613">
        <v>86</v>
      </c>
      <c r="B91" s="902" t="s">
        <v>1667</v>
      </c>
      <c r="C91" s="551"/>
      <c r="D91" s="579" t="s">
        <v>1668</v>
      </c>
      <c r="E91" s="551"/>
      <c r="F91" s="584"/>
      <c r="G91" s="553"/>
      <c r="H91" s="584">
        <v>8.6599999999999996E-2</v>
      </c>
      <c r="I91" s="550"/>
      <c r="J91" s="550"/>
      <c r="K91" s="550"/>
      <c r="N91" s="901"/>
    </row>
    <row r="92" spans="1:14" s="602" customFormat="1" ht="15.6">
      <c r="A92" s="613">
        <v>87</v>
      </c>
      <c r="B92" s="902" t="s">
        <v>1669</v>
      </c>
      <c r="C92" s="551"/>
      <c r="D92" s="579" t="s">
        <v>1670</v>
      </c>
      <c r="E92" s="551"/>
      <c r="F92" s="584"/>
      <c r="G92" s="553"/>
      <c r="H92" s="584">
        <v>0.1724</v>
      </c>
      <c r="I92" s="550"/>
      <c r="J92" s="550"/>
      <c r="K92" s="550"/>
      <c r="N92" s="901"/>
    </row>
    <row r="93" spans="1:14" s="602" customFormat="1" ht="15.6">
      <c r="A93" s="903">
        <v>88</v>
      </c>
      <c r="B93" s="902" t="s">
        <v>1671</v>
      </c>
      <c r="C93" s="551"/>
      <c r="D93" s="579" t="s">
        <v>1652</v>
      </c>
      <c r="E93" s="551"/>
      <c r="F93" s="584"/>
      <c r="G93" s="553"/>
      <c r="H93" s="584">
        <v>0.1172</v>
      </c>
      <c r="I93" s="550"/>
      <c r="J93" s="550"/>
      <c r="K93" s="550"/>
      <c r="N93" s="901"/>
    </row>
    <row r="94" spans="1:14" s="602" customFormat="1" ht="15.6">
      <c r="A94" s="613">
        <v>89</v>
      </c>
      <c r="B94" s="902" t="s">
        <v>1672</v>
      </c>
      <c r="C94" s="551"/>
      <c r="D94" s="579" t="s">
        <v>1673</v>
      </c>
      <c r="E94" s="551"/>
      <c r="F94" s="584"/>
      <c r="G94" s="553"/>
      <c r="H94" s="584">
        <v>0.13619999999999999</v>
      </c>
      <c r="I94" s="550"/>
      <c r="J94" s="550"/>
      <c r="K94" s="550"/>
      <c r="N94" s="901"/>
    </row>
    <row r="95" spans="1:14" s="602" customFormat="1" ht="15.6">
      <c r="A95" s="613">
        <v>90</v>
      </c>
      <c r="B95" s="902" t="s">
        <v>1674</v>
      </c>
      <c r="C95" s="551"/>
      <c r="D95" s="579" t="s">
        <v>1675</v>
      </c>
      <c r="E95" s="551"/>
      <c r="F95" s="584"/>
      <c r="G95" s="553"/>
      <c r="H95" s="584">
        <v>0.2</v>
      </c>
      <c r="I95" s="550"/>
      <c r="J95" s="550"/>
      <c r="K95" s="550"/>
      <c r="N95" s="901"/>
    </row>
    <row r="96" spans="1:14" s="602" customFormat="1" ht="15.6">
      <c r="A96" s="903">
        <v>91</v>
      </c>
      <c r="B96" s="902" t="s">
        <v>1676</v>
      </c>
      <c r="C96" s="551"/>
      <c r="D96" s="579" t="s">
        <v>1677</v>
      </c>
      <c r="E96" s="551"/>
      <c r="F96" s="584"/>
      <c r="G96" s="553"/>
      <c r="H96" s="584">
        <v>0.1172</v>
      </c>
      <c r="I96" s="550"/>
      <c r="J96" s="550"/>
      <c r="K96" s="550"/>
      <c r="N96" s="901"/>
    </row>
    <row r="97" spans="1:14" s="602" customFormat="1" ht="15.6">
      <c r="A97" s="613">
        <v>92</v>
      </c>
      <c r="B97" s="902" t="s">
        <v>1678</v>
      </c>
      <c r="C97" s="551"/>
      <c r="D97" s="579" t="s">
        <v>1679</v>
      </c>
      <c r="E97" s="551"/>
      <c r="F97" s="584"/>
      <c r="G97" s="553"/>
      <c r="H97" s="584">
        <v>0.13619999999999999</v>
      </c>
      <c r="I97" s="550"/>
      <c r="J97" s="550"/>
      <c r="K97" s="550"/>
      <c r="N97" s="901"/>
    </row>
    <row r="98" spans="1:14" s="602" customFormat="1" ht="15.6">
      <c r="A98" s="613">
        <v>93</v>
      </c>
      <c r="B98" s="902" t="s">
        <v>1680</v>
      </c>
      <c r="C98" s="551"/>
      <c r="D98" s="579" t="s">
        <v>1681</v>
      </c>
      <c r="E98" s="551"/>
      <c r="F98" s="584"/>
      <c r="G98" s="553"/>
      <c r="H98" s="584">
        <v>0.2</v>
      </c>
      <c r="I98" s="550"/>
      <c r="J98" s="550"/>
      <c r="K98" s="550"/>
      <c r="N98" s="901"/>
    </row>
    <row r="99" spans="1:14" s="602" customFormat="1" ht="15.6">
      <c r="A99" s="903">
        <v>94</v>
      </c>
      <c r="B99" s="902" t="s">
        <v>1682</v>
      </c>
      <c r="C99" s="551"/>
      <c r="D99" s="579" t="s">
        <v>1683</v>
      </c>
      <c r="E99" s="551"/>
      <c r="F99" s="584"/>
      <c r="G99" s="553"/>
      <c r="H99" s="584">
        <v>8.6599999999999996E-2</v>
      </c>
      <c r="I99" s="550"/>
      <c r="J99" s="550"/>
      <c r="K99" s="550"/>
      <c r="N99" s="901"/>
    </row>
    <row r="100" spans="1:14" s="602" customFormat="1" ht="15.6">
      <c r="A100" s="613">
        <v>95</v>
      </c>
      <c r="B100" s="902" t="s">
        <v>1684</v>
      </c>
      <c r="C100" s="551"/>
      <c r="D100" s="579" t="s">
        <v>1685</v>
      </c>
      <c r="E100" s="551"/>
      <c r="F100" s="584"/>
      <c r="G100" s="553"/>
      <c r="H100" s="584">
        <v>0.1724</v>
      </c>
      <c r="I100" s="550"/>
      <c r="J100" s="550"/>
      <c r="K100" s="550"/>
      <c r="N100" s="901"/>
    </row>
    <row r="101" spans="1:14" s="602" customFormat="1" ht="15.6">
      <c r="A101" s="613">
        <v>96</v>
      </c>
      <c r="B101" s="902" t="s">
        <v>1686</v>
      </c>
      <c r="C101" s="551"/>
      <c r="D101" s="579" t="s">
        <v>1687</v>
      </c>
      <c r="E101" s="551"/>
      <c r="F101" s="584"/>
      <c r="G101" s="553"/>
      <c r="H101" s="584">
        <v>4.1300000000000003E-2</v>
      </c>
      <c r="I101" s="550"/>
      <c r="J101" s="550"/>
      <c r="K101" s="550"/>
      <c r="N101" s="901"/>
    </row>
    <row r="102" spans="1:14" ht="15.6">
      <c r="A102" s="903"/>
      <c r="B102" s="580"/>
      <c r="C102" s="551"/>
      <c r="D102" s="579"/>
      <c r="E102" s="551"/>
      <c r="F102" s="584"/>
      <c r="G102" s="553"/>
      <c r="H102" s="584"/>
      <c r="I102" s="550"/>
      <c r="J102" s="550"/>
      <c r="K102" s="550"/>
    </row>
    <row r="103" spans="1:14">
      <c r="A103" s="904"/>
      <c r="B103" s="1126" t="s">
        <v>880</v>
      </c>
      <c r="C103" s="1127"/>
      <c r="D103" s="1127"/>
      <c r="E103" s="1127"/>
      <c r="F103" s="1127"/>
      <c r="G103" s="1127"/>
      <c r="H103" s="1127"/>
      <c r="I103" s="1127"/>
      <c r="J103" s="1127"/>
      <c r="K103" s="450"/>
    </row>
    <row r="104" spans="1:14">
      <c r="A104" s="904"/>
      <c r="B104" s="1127"/>
      <c r="C104" s="1127"/>
      <c r="D104" s="1127"/>
      <c r="E104" s="1127"/>
      <c r="F104" s="1127"/>
      <c r="G104" s="1127"/>
      <c r="H104" s="1127"/>
      <c r="I104" s="1127"/>
      <c r="J104" s="1127"/>
      <c r="K104" s="450"/>
    </row>
    <row r="105" spans="1:14">
      <c r="A105" s="1065" t="s">
        <v>729</v>
      </c>
      <c r="B105" s="1065"/>
      <c r="C105" s="1065"/>
      <c r="D105" s="1065"/>
      <c r="E105" s="1065"/>
      <c r="F105" s="1065"/>
      <c r="G105" s="1065"/>
      <c r="H105" s="1065"/>
      <c r="I105" s="1065"/>
      <c r="J105" s="1065"/>
      <c r="K105" s="1065"/>
    </row>
    <row r="106" spans="1:14">
      <c r="A106" s="1065" t="s">
        <v>504</v>
      </c>
      <c r="B106" s="1065"/>
      <c r="C106" s="1065"/>
      <c r="D106" s="1065"/>
      <c r="E106" s="1065"/>
      <c r="F106" s="1065"/>
      <c r="G106" s="1065"/>
      <c r="H106" s="1065"/>
      <c r="I106" s="1065"/>
      <c r="J106" s="1065"/>
      <c r="K106" s="1065"/>
    </row>
    <row r="65564" spans="6:6" ht="15">
      <c r="F65564" s="554"/>
    </row>
  </sheetData>
  <dataConsolidate>
    <dataRefs count="1">
      <dataRef ref="O1:P65536" sheet="10 - Depr Rates" r:id="rId1"/>
    </dataRefs>
  </dataConsolidate>
  <mergeCells count="5">
    <mergeCell ref="A105:K105"/>
    <mergeCell ref="A106:K106"/>
    <mergeCell ref="A1:K1"/>
    <mergeCell ref="A2:K2"/>
    <mergeCell ref="B103:J104"/>
  </mergeCells>
  <pageMargins left="0.7" right="0.7" top="0.75" bottom="0.75" header="0.3" footer="0.3"/>
  <pageSetup scale="40" orientation="portrait" r:id="rId2"/>
  <headerFooter>
    <oddHeader>&amp;C&amp;"Arial,Bold"ADDENDUM 27 TO ATTACHMENT H, Page &amp;P of &amp;N
NorthWestern Corporation (South Dakota)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75"/>
  <sheetViews>
    <sheetView topLeftCell="A34" zoomScale="80" zoomScaleNormal="80" workbookViewId="0">
      <selection activeCell="F62" sqref="F62"/>
    </sheetView>
  </sheetViews>
  <sheetFormatPr defaultRowHeight="14.4"/>
  <cols>
    <col min="1" max="1" width="5.44140625" bestFit="1" customWidth="1"/>
    <col min="2" max="2" width="67.109375" style="562" bestFit="1" customWidth="1"/>
    <col min="3" max="3" width="17.88671875" style="568" customWidth="1"/>
    <col min="4" max="4" width="15.6640625" style="568" customWidth="1"/>
    <col min="5" max="6" width="13.6640625" style="568" customWidth="1"/>
    <col min="7" max="7" width="16" style="568" customWidth="1"/>
    <col min="8" max="8" width="14.44140625" style="568" customWidth="1"/>
    <col min="9" max="9" width="17.109375" style="564" bestFit="1" customWidth="1"/>
    <col min="10" max="10" width="15.6640625" style="564" customWidth="1"/>
    <col min="11" max="11" width="23.88671875" style="564" customWidth="1"/>
    <col min="12" max="12" width="22" style="569" bestFit="1" customWidth="1"/>
    <col min="13" max="13" width="16.6640625" style="569" customWidth="1"/>
    <col min="14" max="14" width="14.6640625" style="570" customWidth="1"/>
    <col min="15" max="15" width="16" style="564" customWidth="1"/>
  </cols>
  <sheetData>
    <row r="1" spans="1:17" s="574" customFormat="1" ht="57.6">
      <c r="A1" s="572" t="s">
        <v>244</v>
      </c>
      <c r="B1" s="572" t="s">
        <v>793</v>
      </c>
      <c r="C1" s="573" t="s">
        <v>804</v>
      </c>
      <c r="D1" s="573" t="s">
        <v>805</v>
      </c>
      <c r="E1" s="573" t="s">
        <v>806</v>
      </c>
      <c r="F1" s="573" t="s">
        <v>801</v>
      </c>
      <c r="G1" s="573" t="s">
        <v>802</v>
      </c>
      <c r="H1" s="573" t="s">
        <v>803</v>
      </c>
      <c r="I1" s="694" t="s">
        <v>1698</v>
      </c>
      <c r="J1" s="694" t="s">
        <v>1699</v>
      </c>
      <c r="K1" s="694" t="s">
        <v>1700</v>
      </c>
      <c r="L1" s="573" t="s">
        <v>767</v>
      </c>
      <c r="M1" s="573" t="s">
        <v>768</v>
      </c>
      <c r="N1" s="573" t="s">
        <v>769</v>
      </c>
      <c r="O1" s="573" t="s">
        <v>794</v>
      </c>
      <c r="P1"/>
      <c r="Q1"/>
    </row>
    <row r="2" spans="1:17" s="574" customFormat="1" ht="13.2" customHeight="1">
      <c r="A2" s="575" t="s">
        <v>762</v>
      </c>
      <c r="B2" s="575" t="s">
        <v>763</v>
      </c>
      <c r="C2" s="576" t="s">
        <v>764</v>
      </c>
      <c r="D2" s="576" t="s">
        <v>765</v>
      </c>
      <c r="E2" s="576" t="s">
        <v>766</v>
      </c>
      <c r="F2" s="576" t="s">
        <v>770</v>
      </c>
      <c r="G2" s="576" t="s">
        <v>771</v>
      </c>
      <c r="H2" s="576" t="s">
        <v>772</v>
      </c>
      <c r="I2" s="576" t="s">
        <v>773</v>
      </c>
      <c r="J2" s="576" t="s">
        <v>795</v>
      </c>
      <c r="K2" s="576" t="s">
        <v>796</v>
      </c>
      <c r="L2" s="576" t="s">
        <v>797</v>
      </c>
      <c r="M2" s="576" t="s">
        <v>798</v>
      </c>
      <c r="N2" s="576" t="s">
        <v>799</v>
      </c>
      <c r="O2" s="576" t="s">
        <v>800</v>
      </c>
      <c r="P2"/>
      <c r="Q2"/>
    </row>
    <row r="3" spans="1:17">
      <c r="A3" s="21">
        <v>1</v>
      </c>
      <c r="B3" s="596" t="s">
        <v>1713</v>
      </c>
      <c r="C3" s="595">
        <v>3008305.7600000007</v>
      </c>
      <c r="D3" s="595">
        <v>2287375.6399999997</v>
      </c>
      <c r="E3" s="595">
        <v>720930.12</v>
      </c>
      <c r="F3" s="595">
        <v>2777014.8400000003</v>
      </c>
      <c r="G3" s="595">
        <v>2264729.9499999997</v>
      </c>
      <c r="H3" s="595">
        <v>512284.8899999999</v>
      </c>
      <c r="I3" s="595">
        <v>2892660.3000000003</v>
      </c>
      <c r="J3" s="595">
        <v>2276052.7949999999</v>
      </c>
      <c r="K3" s="595">
        <v>616607.505</v>
      </c>
      <c r="L3" s="597">
        <v>2892660.3000000003</v>
      </c>
      <c r="M3" s="597">
        <v>2276052.7949999999</v>
      </c>
      <c r="N3" s="597">
        <v>616607.505</v>
      </c>
      <c r="O3" s="595">
        <v>78132.786527999997</v>
      </c>
    </row>
    <row r="4" spans="1:17">
      <c r="A4" s="21">
        <v>2</v>
      </c>
      <c r="B4" s="596" t="s">
        <v>1714</v>
      </c>
      <c r="C4" s="595">
        <v>10438766.520000001</v>
      </c>
      <c r="D4" s="595">
        <v>5347798.2699999996</v>
      </c>
      <c r="E4" s="595">
        <v>5090968.25</v>
      </c>
      <c r="F4" s="595">
        <v>10438766.520000001</v>
      </c>
      <c r="G4" s="595">
        <v>5206607.5200000005</v>
      </c>
      <c r="H4" s="595">
        <v>5232158.9999999991</v>
      </c>
      <c r="I4" s="595">
        <v>10438766.520000001</v>
      </c>
      <c r="J4" s="595">
        <v>5277202.8950000005</v>
      </c>
      <c r="K4" s="595">
        <v>5161563.6250000009</v>
      </c>
      <c r="L4" s="597">
        <v>10438766.520000001</v>
      </c>
      <c r="M4" s="597">
        <v>5277202.8950000005</v>
      </c>
      <c r="N4" s="597">
        <v>5161563.6250000009</v>
      </c>
      <c r="O4" s="595">
        <v>270083.13885700004</v>
      </c>
    </row>
    <row r="5" spans="1:17">
      <c r="A5" s="21">
        <v>3</v>
      </c>
      <c r="B5" s="596" t="s">
        <v>1715</v>
      </c>
      <c r="C5" s="595">
        <v>588178.14</v>
      </c>
      <c r="D5" s="595">
        <v>386241.70999999996</v>
      </c>
      <c r="E5" s="595">
        <v>201936.43000000002</v>
      </c>
      <c r="F5" s="595">
        <v>588178.14</v>
      </c>
      <c r="G5" s="595">
        <v>371145.68</v>
      </c>
      <c r="H5" s="595">
        <v>217032.45999999996</v>
      </c>
      <c r="I5" s="595">
        <v>588178.14</v>
      </c>
      <c r="J5" s="595">
        <v>378693.69500000001</v>
      </c>
      <c r="K5" s="595">
        <v>209484.44499999995</v>
      </c>
      <c r="L5" s="597">
        <v>588178.14</v>
      </c>
      <c r="M5" s="597">
        <v>378693.69500000001</v>
      </c>
      <c r="N5" s="597">
        <v>209484.44499999995</v>
      </c>
      <c r="O5" s="595">
        <v>16555.446741</v>
      </c>
    </row>
    <row r="6" spans="1:17">
      <c r="A6" s="21">
        <v>4</v>
      </c>
      <c r="B6" s="596" t="s">
        <v>1716</v>
      </c>
      <c r="C6" s="595">
        <v>2240942.6</v>
      </c>
      <c r="D6" s="595">
        <v>1334107.51</v>
      </c>
      <c r="E6" s="595">
        <v>906835.09000000008</v>
      </c>
      <c r="F6" s="595">
        <v>2240942.6</v>
      </c>
      <c r="G6" s="595">
        <v>1287290.3899999997</v>
      </c>
      <c r="H6" s="595">
        <v>953652.21</v>
      </c>
      <c r="I6" s="595">
        <v>2240942.6</v>
      </c>
      <c r="J6" s="595">
        <v>1310698.95</v>
      </c>
      <c r="K6" s="595">
        <v>930243.64999999991</v>
      </c>
      <c r="L6" s="597">
        <v>2240942.6</v>
      </c>
      <c r="M6" s="597">
        <v>1310698.95</v>
      </c>
      <c r="N6" s="597">
        <v>930243.64999999991</v>
      </c>
      <c r="O6" s="595">
        <v>59453.765872999997</v>
      </c>
    </row>
    <row r="7" spans="1:17">
      <c r="A7" s="21">
        <v>5</v>
      </c>
      <c r="B7" s="596" t="s">
        <v>1717</v>
      </c>
      <c r="C7" s="595">
        <v>65239.180000000008</v>
      </c>
      <c r="D7" s="595">
        <v>46869.070000000007</v>
      </c>
      <c r="E7" s="595">
        <v>18370.11</v>
      </c>
      <c r="F7" s="595">
        <v>65239.180000000008</v>
      </c>
      <c r="G7" s="595">
        <v>46424.43</v>
      </c>
      <c r="H7" s="595">
        <v>18814.75</v>
      </c>
      <c r="I7" s="595">
        <v>65239.180000000008</v>
      </c>
      <c r="J7" s="595">
        <v>46646.75</v>
      </c>
      <c r="K7" s="595">
        <v>18592.43</v>
      </c>
      <c r="L7" s="597">
        <v>65239.180000000008</v>
      </c>
      <c r="M7" s="597">
        <v>46646.75</v>
      </c>
      <c r="N7" s="597">
        <v>18592.43</v>
      </c>
      <c r="O7" s="595">
        <v>1731.9697460000002</v>
      </c>
    </row>
    <row r="8" spans="1:17">
      <c r="A8" s="21">
        <v>6</v>
      </c>
      <c r="B8" s="596" t="s">
        <v>1718</v>
      </c>
      <c r="C8" s="595">
        <v>2757680.1300000008</v>
      </c>
      <c r="D8" s="595">
        <v>2230045.9899999993</v>
      </c>
      <c r="E8" s="595">
        <v>527634.14000000013</v>
      </c>
      <c r="F8" s="595">
        <v>2757680.1300000004</v>
      </c>
      <c r="G8" s="595">
        <v>2199583.1800000002</v>
      </c>
      <c r="H8" s="595">
        <v>558096.94999999995</v>
      </c>
      <c r="I8" s="595">
        <v>2757680.1300000008</v>
      </c>
      <c r="J8" s="595">
        <v>2214814.5849999995</v>
      </c>
      <c r="K8" s="595">
        <v>542865.54500000004</v>
      </c>
      <c r="L8" s="597">
        <v>2757680.1300000008</v>
      </c>
      <c r="M8" s="597">
        <v>2214814.5849999995</v>
      </c>
      <c r="N8" s="597">
        <v>542865.54500000004</v>
      </c>
      <c r="O8" s="595">
        <v>73382.937199999986</v>
      </c>
    </row>
    <row r="9" spans="1:17">
      <c r="A9" s="21">
        <v>7</v>
      </c>
      <c r="B9" s="596" t="s">
        <v>1719</v>
      </c>
      <c r="C9" s="595">
        <v>555165.59</v>
      </c>
      <c r="D9" s="595">
        <v>521087.55</v>
      </c>
      <c r="E9" s="595">
        <v>34078.04</v>
      </c>
      <c r="F9" s="595">
        <v>555165.59</v>
      </c>
      <c r="G9" s="595">
        <v>520644.77999999997</v>
      </c>
      <c r="H9" s="595">
        <v>34520.81</v>
      </c>
      <c r="I9" s="595">
        <v>555165.59</v>
      </c>
      <c r="J9" s="595">
        <v>520866.16499999998</v>
      </c>
      <c r="K9" s="595">
        <v>34299.425000000003</v>
      </c>
      <c r="L9" s="597">
        <v>555165.59</v>
      </c>
      <c r="M9" s="597">
        <v>520866.16499999998</v>
      </c>
      <c r="N9" s="597">
        <v>34299.425000000003</v>
      </c>
      <c r="O9" s="595">
        <v>14782.930847</v>
      </c>
    </row>
    <row r="10" spans="1:17">
      <c r="A10" s="21">
        <v>8</v>
      </c>
      <c r="B10" s="596" t="s">
        <v>1720</v>
      </c>
      <c r="C10" s="595">
        <v>576082.1</v>
      </c>
      <c r="D10" s="595">
        <v>457700.82</v>
      </c>
      <c r="E10" s="595">
        <v>118381.28000000001</v>
      </c>
      <c r="F10" s="595">
        <v>539593.76</v>
      </c>
      <c r="G10" s="595">
        <v>457796.15</v>
      </c>
      <c r="H10" s="595">
        <v>81797.61</v>
      </c>
      <c r="I10" s="595">
        <v>557837.93000000005</v>
      </c>
      <c r="J10" s="595">
        <v>457748.48500000004</v>
      </c>
      <c r="K10" s="595">
        <v>100089.44500000002</v>
      </c>
      <c r="L10" s="597">
        <v>557837.93000000005</v>
      </c>
      <c r="M10" s="597">
        <v>457748.48500000004</v>
      </c>
      <c r="N10" s="597">
        <v>100089.44500000002</v>
      </c>
      <c r="O10" s="595">
        <v>13649.669145000002</v>
      </c>
    </row>
    <row r="11" spans="1:17">
      <c r="A11" s="21">
        <v>9</v>
      </c>
      <c r="B11" s="596" t="s">
        <v>1721</v>
      </c>
      <c r="C11" s="595">
        <v>1270919.8600000003</v>
      </c>
      <c r="D11" s="595">
        <v>783680.14</v>
      </c>
      <c r="E11" s="595">
        <v>487239.72000000003</v>
      </c>
      <c r="F11" s="595">
        <v>1117249.0899999999</v>
      </c>
      <c r="G11" s="595">
        <v>769948.05</v>
      </c>
      <c r="H11" s="595">
        <v>347301.04</v>
      </c>
      <c r="I11" s="595">
        <v>1194084.4749999999</v>
      </c>
      <c r="J11" s="595">
        <v>776814.09499999997</v>
      </c>
      <c r="K11" s="595">
        <v>417270.38</v>
      </c>
      <c r="L11" s="597">
        <v>1194084.4749999999</v>
      </c>
      <c r="M11" s="597">
        <v>776814.09499999997</v>
      </c>
      <c r="N11" s="597">
        <v>417270.38</v>
      </c>
      <c r="O11" s="595">
        <v>30855.087008500006</v>
      </c>
    </row>
    <row r="12" spans="1:17">
      <c r="A12" s="21">
        <v>10</v>
      </c>
      <c r="B12" s="596" t="s">
        <v>1722</v>
      </c>
      <c r="C12" s="595">
        <v>4683319.8899999997</v>
      </c>
      <c r="D12" s="595">
        <v>2564513.91</v>
      </c>
      <c r="E12" s="595">
        <v>2118805.9799999995</v>
      </c>
      <c r="F12" s="595">
        <v>4682336.84</v>
      </c>
      <c r="G12" s="595">
        <v>2478693.2599999998</v>
      </c>
      <c r="H12" s="595">
        <v>2203643.5799999996</v>
      </c>
      <c r="I12" s="595">
        <v>4682828.3650000002</v>
      </c>
      <c r="J12" s="595">
        <v>2521603.585</v>
      </c>
      <c r="K12" s="595">
        <v>2161224.7799999993</v>
      </c>
      <c r="L12" s="597">
        <v>4682828.3650000002</v>
      </c>
      <c r="M12" s="597">
        <v>2521603.585</v>
      </c>
      <c r="N12" s="597">
        <v>2161224.7799999993</v>
      </c>
      <c r="O12" s="595">
        <v>123283.73599049999</v>
      </c>
    </row>
    <row r="13" spans="1:17">
      <c r="A13" s="21">
        <v>11</v>
      </c>
      <c r="B13" s="596" t="s">
        <v>1723</v>
      </c>
      <c r="C13" s="595">
        <v>3727834.92</v>
      </c>
      <c r="D13" s="595">
        <v>2224307.84</v>
      </c>
      <c r="E13" s="595">
        <v>1503527.0799999996</v>
      </c>
      <c r="F13" s="595">
        <v>3729685.6799999997</v>
      </c>
      <c r="G13" s="595">
        <v>2158635.6999999997</v>
      </c>
      <c r="H13" s="595">
        <v>1571049.98</v>
      </c>
      <c r="I13" s="595">
        <v>3728760.3</v>
      </c>
      <c r="J13" s="595">
        <v>2191471.77</v>
      </c>
      <c r="K13" s="595">
        <v>1537288.53</v>
      </c>
      <c r="L13" s="597">
        <v>3728760.3</v>
      </c>
      <c r="M13" s="597">
        <v>2191471.77</v>
      </c>
      <c r="N13" s="597">
        <v>1537288.53</v>
      </c>
      <c r="O13" s="595">
        <v>96458.22920300001</v>
      </c>
    </row>
    <row r="14" spans="1:17">
      <c r="A14" s="21">
        <v>12</v>
      </c>
      <c r="B14" s="596" t="s">
        <v>1724</v>
      </c>
      <c r="C14" s="595">
        <v>6128419.7000000011</v>
      </c>
      <c r="D14" s="595">
        <v>4081244.5600000005</v>
      </c>
      <c r="E14" s="595">
        <v>2047175.1399999997</v>
      </c>
      <c r="F14" s="595">
        <v>5883716.330000001</v>
      </c>
      <c r="G14" s="595">
        <v>3983768.4200000004</v>
      </c>
      <c r="H14" s="595">
        <v>1899947.91</v>
      </c>
      <c r="I14" s="595">
        <v>6006068.0150000006</v>
      </c>
      <c r="J14" s="595">
        <v>4032506.4900000007</v>
      </c>
      <c r="K14" s="595">
        <v>1973561.5249999999</v>
      </c>
      <c r="L14" s="597">
        <v>1291304.623225</v>
      </c>
      <c r="M14" s="597">
        <v>866988.89535000012</v>
      </c>
      <c r="N14" s="597">
        <v>424315.72787499992</v>
      </c>
      <c r="O14" s="595">
        <v>35112.279716617501</v>
      </c>
    </row>
    <row r="15" spans="1:17">
      <c r="A15" s="21">
        <v>13</v>
      </c>
      <c r="B15" s="596" t="s">
        <v>1725</v>
      </c>
      <c r="C15" s="595">
        <v>3279880.64</v>
      </c>
      <c r="D15" s="595">
        <v>1897372.48</v>
      </c>
      <c r="E15" s="595">
        <v>1382508.1600000001</v>
      </c>
      <c r="F15" s="595">
        <v>3279880.6399999997</v>
      </c>
      <c r="G15" s="595">
        <v>1816165.6399999997</v>
      </c>
      <c r="H15" s="595">
        <v>1463714.9999999998</v>
      </c>
      <c r="I15" s="595">
        <v>3279880.6399999997</v>
      </c>
      <c r="J15" s="595">
        <v>1856769.0599999998</v>
      </c>
      <c r="K15" s="595">
        <v>1423111.58</v>
      </c>
      <c r="L15" s="597">
        <v>3279880.6399999997</v>
      </c>
      <c r="M15" s="597">
        <v>1856769.0599999998</v>
      </c>
      <c r="N15" s="597">
        <v>1423111.58</v>
      </c>
      <c r="O15" s="595">
        <v>90100.976171000017</v>
      </c>
    </row>
    <row r="16" spans="1:17">
      <c r="A16" s="21">
        <v>14</v>
      </c>
      <c r="B16" s="596" t="s">
        <v>1726</v>
      </c>
      <c r="C16" s="595">
        <v>1934483.87</v>
      </c>
      <c r="D16" s="595">
        <v>1123418.28</v>
      </c>
      <c r="E16" s="595">
        <v>811065.59000000008</v>
      </c>
      <c r="F16" s="595">
        <v>1699185.7500000002</v>
      </c>
      <c r="G16" s="595">
        <v>1098129.7</v>
      </c>
      <c r="H16" s="595">
        <v>601056.04999999993</v>
      </c>
      <c r="I16" s="595">
        <v>1816834.8100000005</v>
      </c>
      <c r="J16" s="595">
        <v>1110773.9899999998</v>
      </c>
      <c r="K16" s="595">
        <v>706060.82000000018</v>
      </c>
      <c r="L16" s="597">
        <v>484161.92504324333</v>
      </c>
      <c r="M16" s="597">
        <v>296006.25787567568</v>
      </c>
      <c r="N16" s="597">
        <v>188155.66716756759</v>
      </c>
      <c r="O16" s="595">
        <v>13359.349634040002</v>
      </c>
    </row>
    <row r="17" spans="1:15">
      <c r="A17" s="21">
        <v>15</v>
      </c>
      <c r="B17" s="596" t="s">
        <v>1727</v>
      </c>
      <c r="C17" s="595">
        <v>878792.99000000011</v>
      </c>
      <c r="D17" s="595">
        <v>528678.6</v>
      </c>
      <c r="E17" s="595">
        <v>350114.39</v>
      </c>
      <c r="F17" s="595">
        <v>878792.99000000011</v>
      </c>
      <c r="G17" s="595">
        <v>500590.36</v>
      </c>
      <c r="H17" s="595">
        <v>378202.63</v>
      </c>
      <c r="I17" s="595">
        <v>878792.99000000011</v>
      </c>
      <c r="J17" s="595">
        <v>514634.48</v>
      </c>
      <c r="K17" s="595">
        <v>364158.51000000007</v>
      </c>
      <c r="L17" s="597">
        <v>878792.99000000011</v>
      </c>
      <c r="M17" s="597">
        <v>514634.48</v>
      </c>
      <c r="N17" s="597">
        <v>364158.51000000007</v>
      </c>
      <c r="O17" s="595">
        <v>23463.772833000003</v>
      </c>
    </row>
    <row r="18" spans="1:15">
      <c r="A18" s="21">
        <v>16</v>
      </c>
      <c r="B18" s="596" t="s">
        <v>1728</v>
      </c>
      <c r="C18" s="595">
        <v>5165811.72</v>
      </c>
      <c r="D18" s="595">
        <v>3243956.31</v>
      </c>
      <c r="E18" s="595">
        <v>1921855.4100000001</v>
      </c>
      <c r="F18" s="595">
        <v>5165811.72</v>
      </c>
      <c r="G18" s="595">
        <v>3098572.2099999995</v>
      </c>
      <c r="H18" s="595">
        <v>2067239.5099999998</v>
      </c>
      <c r="I18" s="595">
        <v>5165811.72</v>
      </c>
      <c r="J18" s="595">
        <v>3171264.2600000007</v>
      </c>
      <c r="K18" s="595">
        <v>1994547.4599999997</v>
      </c>
      <c r="L18" s="597">
        <v>5165811.72</v>
      </c>
      <c r="M18" s="597">
        <v>3171264.2600000007</v>
      </c>
      <c r="N18" s="597">
        <v>1994547.4599999997</v>
      </c>
      <c r="O18" s="595">
        <v>131020.57346499999</v>
      </c>
    </row>
    <row r="19" spans="1:15">
      <c r="A19" s="21">
        <v>17</v>
      </c>
      <c r="B19" s="596" t="s">
        <v>1729</v>
      </c>
      <c r="C19" s="595">
        <v>12262.95</v>
      </c>
      <c r="D19" s="595">
        <v>10257.460000000001</v>
      </c>
      <c r="E19" s="595">
        <v>2005.4899999999998</v>
      </c>
      <c r="F19" s="595">
        <v>12262.95</v>
      </c>
      <c r="G19" s="595">
        <v>9791.44</v>
      </c>
      <c r="H19" s="595">
        <v>2471.5100000000002</v>
      </c>
      <c r="I19" s="595">
        <v>12262.95</v>
      </c>
      <c r="J19" s="595">
        <v>10024.450000000001</v>
      </c>
      <c r="K19" s="595">
        <v>2238.5</v>
      </c>
      <c r="L19" s="597">
        <v>12262.95</v>
      </c>
      <c r="M19" s="597">
        <v>10024.450000000001</v>
      </c>
      <c r="N19" s="597">
        <v>2238.5</v>
      </c>
      <c r="O19" s="595">
        <v>327.42076500000002</v>
      </c>
    </row>
    <row r="20" spans="1:15">
      <c r="A20" s="21">
        <v>18</v>
      </c>
      <c r="B20" s="596" t="s">
        <v>1730</v>
      </c>
      <c r="C20" s="595">
        <v>1309428.7200000002</v>
      </c>
      <c r="D20" s="595">
        <v>148862.35</v>
      </c>
      <c r="E20" s="595">
        <v>1160566.3700000001</v>
      </c>
      <c r="F20" s="595">
        <v>1309428.7200000002</v>
      </c>
      <c r="G20" s="595">
        <v>121671.27000000003</v>
      </c>
      <c r="H20" s="595">
        <v>1187757.4499999997</v>
      </c>
      <c r="I20" s="595">
        <v>1309428.7200000002</v>
      </c>
      <c r="J20" s="595">
        <v>135266.81</v>
      </c>
      <c r="K20" s="595">
        <v>1174161.9100000001</v>
      </c>
      <c r="L20" s="597">
        <v>789766.75218590489</v>
      </c>
      <c r="M20" s="597">
        <v>87043.394787892787</v>
      </c>
      <c r="N20" s="597">
        <v>702723.35739801219</v>
      </c>
      <c r="O20" s="595">
        <v>20974.474765754938</v>
      </c>
    </row>
    <row r="21" spans="1:15">
      <c r="A21" s="21">
        <v>19</v>
      </c>
      <c r="B21" s="596" t="s">
        <v>1731</v>
      </c>
      <c r="C21" s="595">
        <v>8424201.3000000007</v>
      </c>
      <c r="D21" s="595">
        <v>2152683.8999999994</v>
      </c>
      <c r="E21" s="595">
        <v>6271517.4000000004</v>
      </c>
      <c r="F21" s="595">
        <v>8421053.4100000001</v>
      </c>
      <c r="G21" s="595">
        <v>1963235.4400000002</v>
      </c>
      <c r="H21" s="595">
        <v>6457817.9699999988</v>
      </c>
      <c r="I21" s="595">
        <v>8422627.3550000004</v>
      </c>
      <c r="J21" s="595">
        <v>2057959.6700000004</v>
      </c>
      <c r="K21" s="595">
        <v>6364667.6849999996</v>
      </c>
      <c r="L21" s="597">
        <v>3210921.1715300377</v>
      </c>
      <c r="M21" s="597">
        <v>757677.71970879636</v>
      </c>
      <c r="N21" s="597">
        <v>2453243.4518212425</v>
      </c>
      <c r="O21" s="595">
        <v>83295.613419484565</v>
      </c>
    </row>
    <row r="22" spans="1:15">
      <c r="A22" s="21">
        <v>20</v>
      </c>
      <c r="B22" s="596" t="s">
        <v>1732</v>
      </c>
      <c r="C22" s="595">
        <v>519248.92999999993</v>
      </c>
      <c r="D22" s="595">
        <v>111138.27000000002</v>
      </c>
      <c r="E22" s="595">
        <v>408110.66000000003</v>
      </c>
      <c r="F22" s="595">
        <v>519248.92999999993</v>
      </c>
      <c r="G22" s="595">
        <v>99717.039999999979</v>
      </c>
      <c r="H22" s="595">
        <v>419531.88999999996</v>
      </c>
      <c r="I22" s="595">
        <v>519248.92999999993</v>
      </c>
      <c r="J22" s="595">
        <v>105427.655</v>
      </c>
      <c r="K22" s="595">
        <v>413821.27499999997</v>
      </c>
      <c r="L22" s="597">
        <v>519248.92999999993</v>
      </c>
      <c r="M22" s="597">
        <v>105427.655</v>
      </c>
      <c r="N22" s="597">
        <v>413821.27499999997</v>
      </c>
      <c r="O22" s="595">
        <v>13863.946430999998</v>
      </c>
    </row>
    <row r="23" spans="1:15">
      <c r="A23" s="21">
        <v>21</v>
      </c>
      <c r="B23" s="596" t="s">
        <v>1733</v>
      </c>
      <c r="C23" s="595">
        <v>1042468.2400000001</v>
      </c>
      <c r="D23" s="595">
        <v>176869.24000000002</v>
      </c>
      <c r="E23" s="595">
        <v>865599</v>
      </c>
      <c r="F23" s="595">
        <v>1042119.12</v>
      </c>
      <c r="G23" s="595">
        <v>156976.95999999999</v>
      </c>
      <c r="H23" s="595">
        <v>885142.16</v>
      </c>
      <c r="I23" s="595">
        <v>1042293.68</v>
      </c>
      <c r="J23" s="595">
        <v>166923.1</v>
      </c>
      <c r="K23" s="595">
        <v>875370.58</v>
      </c>
      <c r="L23" s="597">
        <v>612694.04461728851</v>
      </c>
      <c r="M23" s="597">
        <v>107738.25161375901</v>
      </c>
      <c r="N23" s="597">
        <v>504955.79300352948</v>
      </c>
      <c r="O23" s="595">
        <v>14816.955958437939</v>
      </c>
    </row>
    <row r="24" spans="1:15">
      <c r="A24" s="21">
        <v>22</v>
      </c>
      <c r="B24" s="596" t="s">
        <v>1734</v>
      </c>
      <c r="C24" s="595">
        <v>2016557.6600000001</v>
      </c>
      <c r="D24" s="595">
        <v>594516.17999999993</v>
      </c>
      <c r="E24" s="595">
        <v>1422041.48</v>
      </c>
      <c r="F24" s="595">
        <v>2016557.66</v>
      </c>
      <c r="G24" s="595">
        <v>546212.60000000021</v>
      </c>
      <c r="H24" s="595">
        <v>1470345.0599999998</v>
      </c>
      <c r="I24" s="595">
        <v>2016557.6600000001</v>
      </c>
      <c r="J24" s="595">
        <v>570364.3899999999</v>
      </c>
      <c r="K24" s="595">
        <v>1446193.27</v>
      </c>
      <c r="L24" s="597">
        <v>1575211.2997500068</v>
      </c>
      <c r="M24" s="597">
        <v>389620.61073233816</v>
      </c>
      <c r="N24" s="597">
        <v>1185590.6890176686</v>
      </c>
      <c r="O24" s="595">
        <v>41738.180979937504</v>
      </c>
    </row>
    <row r="25" spans="1:15">
      <c r="A25" s="21">
        <v>23</v>
      </c>
      <c r="B25" s="596" t="s">
        <v>1735</v>
      </c>
      <c r="C25" s="595">
        <v>979430.35000000009</v>
      </c>
      <c r="D25" s="595">
        <v>378585.4200000001</v>
      </c>
      <c r="E25" s="595">
        <v>600844.93000000005</v>
      </c>
      <c r="F25" s="595">
        <v>979430.34999999986</v>
      </c>
      <c r="G25" s="595">
        <v>352697.43000000017</v>
      </c>
      <c r="H25" s="595">
        <v>626732.92000000004</v>
      </c>
      <c r="I25" s="595">
        <v>979430.35000000009</v>
      </c>
      <c r="J25" s="595">
        <v>365641.4250000001</v>
      </c>
      <c r="K25" s="595">
        <v>613788.92499999993</v>
      </c>
      <c r="L25" s="597">
        <v>979430.35000000009</v>
      </c>
      <c r="M25" s="597">
        <v>365641.4250000001</v>
      </c>
      <c r="N25" s="597">
        <v>613788.92499999993</v>
      </c>
      <c r="O25" s="595">
        <v>26150.790345000001</v>
      </c>
    </row>
    <row r="26" spans="1:15">
      <c r="A26" s="21">
        <v>24</v>
      </c>
      <c r="B26" s="596" t="s">
        <v>1736</v>
      </c>
      <c r="C26" s="595">
        <v>4592731.6400000006</v>
      </c>
      <c r="D26" s="595">
        <v>2612428.35</v>
      </c>
      <c r="E26" s="595">
        <v>1980303.2900000007</v>
      </c>
      <c r="F26" s="595">
        <v>4592731.6400000006</v>
      </c>
      <c r="G26" s="595">
        <v>2475127.2399999998</v>
      </c>
      <c r="H26" s="595">
        <v>2117604.4000000004</v>
      </c>
      <c r="I26" s="595">
        <v>4592731.6400000006</v>
      </c>
      <c r="J26" s="595">
        <v>2543777.7949999999</v>
      </c>
      <c r="K26" s="595">
        <v>2048953.8449999995</v>
      </c>
      <c r="L26" s="597">
        <v>3027791.9496837184</v>
      </c>
      <c r="M26" s="597">
        <v>1741987.6083975027</v>
      </c>
      <c r="N26" s="597">
        <v>1285804.3412862171</v>
      </c>
      <c r="O26" s="595">
        <v>79411.538982284561</v>
      </c>
    </row>
    <row r="27" spans="1:15">
      <c r="A27" s="21">
        <v>25</v>
      </c>
      <c r="B27" s="596" t="s">
        <v>1737</v>
      </c>
      <c r="C27" s="595">
        <v>3268492.2399999998</v>
      </c>
      <c r="D27" s="595">
        <v>1323151.8999999997</v>
      </c>
      <c r="E27" s="595">
        <v>1945340.34</v>
      </c>
      <c r="F27" s="595">
        <v>3199658.8899999997</v>
      </c>
      <c r="G27" s="595">
        <v>1242508.9700000002</v>
      </c>
      <c r="H27" s="595">
        <v>1957149.9200000002</v>
      </c>
      <c r="I27" s="595">
        <v>3234075.5649999995</v>
      </c>
      <c r="J27" s="595">
        <v>1282830.4350000001</v>
      </c>
      <c r="K27" s="595">
        <v>1951245.13</v>
      </c>
      <c r="L27" s="597">
        <v>1058097.1745891264</v>
      </c>
      <c r="M27" s="597">
        <v>352584.34203181608</v>
      </c>
      <c r="N27" s="597">
        <v>705512.83255731058</v>
      </c>
      <c r="O27" s="595">
        <v>27919.588789031368</v>
      </c>
    </row>
    <row r="28" spans="1:15">
      <c r="A28" s="21">
        <v>26</v>
      </c>
      <c r="B28" s="596" t="s">
        <v>1738</v>
      </c>
      <c r="C28" s="595">
        <v>5554243.0199999968</v>
      </c>
      <c r="D28" s="595">
        <v>1820655.0199999996</v>
      </c>
      <c r="E28" s="595">
        <v>3733588.0000000014</v>
      </c>
      <c r="F28" s="595">
        <v>5552612.9499999974</v>
      </c>
      <c r="G28" s="595">
        <v>1688007.7200000007</v>
      </c>
      <c r="H28" s="595">
        <v>3864605.2300000014</v>
      </c>
      <c r="I28" s="595">
        <v>5553427.9849999966</v>
      </c>
      <c r="J28" s="595">
        <v>1754331.3699999994</v>
      </c>
      <c r="K28" s="595">
        <v>3799096.6150000007</v>
      </c>
      <c r="L28" s="597">
        <v>3789704.0251552965</v>
      </c>
      <c r="M28" s="597">
        <v>942042.21866124566</v>
      </c>
      <c r="N28" s="597">
        <v>2847661.8064940493</v>
      </c>
      <c r="O28" s="595">
        <v>93531.770519546801</v>
      </c>
    </row>
    <row r="29" spans="1:15">
      <c r="A29" s="21">
        <v>27</v>
      </c>
      <c r="B29" s="596" t="s">
        <v>1739</v>
      </c>
      <c r="C29" s="595">
        <v>4187308.5500000007</v>
      </c>
      <c r="D29" s="595">
        <v>1045352.1699999999</v>
      </c>
      <c r="E29" s="595">
        <v>3141956.38</v>
      </c>
      <c r="F29" s="595">
        <v>2396584.1900000004</v>
      </c>
      <c r="G29" s="595">
        <v>1071026.8900000001</v>
      </c>
      <c r="H29" s="595">
        <v>1325557.2999999996</v>
      </c>
      <c r="I29" s="595">
        <v>3291946.370000001</v>
      </c>
      <c r="J29" s="595">
        <v>1058189.5299999998</v>
      </c>
      <c r="K29" s="595">
        <v>2233756.8400000008</v>
      </c>
      <c r="L29" s="597">
        <v>995401.4642233788</v>
      </c>
      <c r="M29" s="597">
        <v>255978.05896686268</v>
      </c>
      <c r="N29" s="597">
        <v>739423.40525651618</v>
      </c>
      <c r="O29" s="595">
        <v>25455.767979147775</v>
      </c>
    </row>
    <row r="30" spans="1:15">
      <c r="A30" s="21">
        <v>28</v>
      </c>
      <c r="B30" s="596" t="s">
        <v>1740</v>
      </c>
      <c r="C30" s="595">
        <v>2657515.7900000005</v>
      </c>
      <c r="D30" s="595">
        <v>905677.18000000063</v>
      </c>
      <c r="E30" s="595">
        <v>1751838.6099999996</v>
      </c>
      <c r="F30" s="595">
        <v>2657515.7900000005</v>
      </c>
      <c r="G30" s="595">
        <v>840382.67999999912</v>
      </c>
      <c r="H30" s="595">
        <v>1817133.1100000006</v>
      </c>
      <c r="I30" s="595">
        <v>2657515.7900000005</v>
      </c>
      <c r="J30" s="595">
        <v>873029.93000000075</v>
      </c>
      <c r="K30" s="595">
        <v>1784485.8599999999</v>
      </c>
      <c r="L30" s="597">
        <v>649670.23466231651</v>
      </c>
      <c r="M30" s="597">
        <v>148562.03371709204</v>
      </c>
      <c r="N30" s="597">
        <v>501108.20094522473</v>
      </c>
      <c r="O30" s="595">
        <v>18107.90120974803</v>
      </c>
    </row>
    <row r="31" spans="1:15">
      <c r="A31" s="21">
        <v>29</v>
      </c>
      <c r="B31" s="596" t="s">
        <v>1741</v>
      </c>
      <c r="C31" s="595">
        <v>5686768.4899999993</v>
      </c>
      <c r="D31" s="595">
        <v>1170866.4999999998</v>
      </c>
      <c r="E31" s="595">
        <v>4515901.9899999993</v>
      </c>
      <c r="F31" s="595">
        <v>5686768.4899999993</v>
      </c>
      <c r="G31" s="595">
        <v>1030171.26</v>
      </c>
      <c r="H31" s="595">
        <v>4656597.2300000004</v>
      </c>
      <c r="I31" s="595">
        <v>5686768.4899999993</v>
      </c>
      <c r="J31" s="595">
        <v>1100518.8799999999</v>
      </c>
      <c r="K31" s="595">
        <v>4586249.6100000013</v>
      </c>
      <c r="L31" s="597">
        <v>5681458.6099999994</v>
      </c>
      <c r="M31" s="597">
        <v>1099638.4649999999</v>
      </c>
      <c r="N31" s="597">
        <v>4581820.1450000005</v>
      </c>
      <c r="O31" s="595">
        <v>176355.04653400002</v>
      </c>
    </row>
    <row r="32" spans="1:15">
      <c r="A32" s="21">
        <v>30</v>
      </c>
      <c r="B32" s="596" t="s">
        <v>1742</v>
      </c>
      <c r="C32" s="595">
        <v>4758052.43</v>
      </c>
      <c r="D32" s="595">
        <v>1615879.8699999994</v>
      </c>
      <c r="E32" s="595">
        <v>3142172.5600000005</v>
      </c>
      <c r="F32" s="595">
        <v>4757449.38</v>
      </c>
      <c r="G32" s="595">
        <v>1494611.1700000002</v>
      </c>
      <c r="H32" s="595">
        <v>3262838.2100000014</v>
      </c>
      <c r="I32" s="595">
        <v>4757750.9050000003</v>
      </c>
      <c r="J32" s="595">
        <v>1555245.5199999991</v>
      </c>
      <c r="K32" s="595">
        <v>3202505.3850000012</v>
      </c>
      <c r="L32" s="597">
        <v>1605244.7435714472</v>
      </c>
      <c r="M32" s="597">
        <v>351867.40351853904</v>
      </c>
      <c r="N32" s="597">
        <v>1253377.3400529092</v>
      </c>
      <c r="O32" s="595">
        <v>43499.662322546836</v>
      </c>
    </row>
    <row r="33" spans="1:15">
      <c r="A33" s="21">
        <v>31</v>
      </c>
      <c r="B33" s="596" t="s">
        <v>1743</v>
      </c>
      <c r="C33" s="595">
        <v>5844549.54</v>
      </c>
      <c r="D33" s="595">
        <v>2552507.5400000005</v>
      </c>
      <c r="E33" s="595">
        <v>3292041.9999999995</v>
      </c>
      <c r="F33" s="595">
        <v>5844549.5399999991</v>
      </c>
      <c r="G33" s="595">
        <v>2360447.5999999996</v>
      </c>
      <c r="H33" s="595">
        <v>3473393</v>
      </c>
      <c r="I33" s="595">
        <v>5844549.54</v>
      </c>
      <c r="J33" s="595">
        <v>2456477.5700000003</v>
      </c>
      <c r="K33" s="595">
        <v>3388071.9699999997</v>
      </c>
      <c r="L33" s="597">
        <v>5560024.1825488359</v>
      </c>
      <c r="M33" s="597">
        <v>2336890.910003101</v>
      </c>
      <c r="N33" s="597">
        <v>3223133.2725457358</v>
      </c>
      <c r="O33" s="595">
        <v>154623.70245716834</v>
      </c>
    </row>
    <row r="34" spans="1:15">
      <c r="A34" s="21">
        <v>32</v>
      </c>
      <c r="B34" s="596" t="s">
        <v>1744</v>
      </c>
      <c r="C34" s="595">
        <v>327079.03000000014</v>
      </c>
      <c r="D34" s="595">
        <v>183033.72999999998</v>
      </c>
      <c r="E34" s="595">
        <v>144045.30000000005</v>
      </c>
      <c r="F34" s="595">
        <v>327079.03000000003</v>
      </c>
      <c r="G34" s="595">
        <v>172946.80000000002</v>
      </c>
      <c r="H34" s="595">
        <v>154132.22999999998</v>
      </c>
      <c r="I34" s="595">
        <v>327079.03000000014</v>
      </c>
      <c r="J34" s="595">
        <v>177990.26500000004</v>
      </c>
      <c r="K34" s="595">
        <v>149088.76500000004</v>
      </c>
      <c r="L34" s="597">
        <v>34430.281040153815</v>
      </c>
      <c r="M34" s="597">
        <v>11360.183046058713</v>
      </c>
      <c r="N34" s="597">
        <v>23070.097994095104</v>
      </c>
      <c r="O34" s="595">
        <v>915.78744728366485</v>
      </c>
    </row>
    <row r="35" spans="1:15">
      <c r="A35" s="21">
        <v>33</v>
      </c>
      <c r="B35" s="596" t="s">
        <v>1745</v>
      </c>
      <c r="C35" s="595">
        <v>2466809.08</v>
      </c>
      <c r="D35" s="595">
        <v>517675.12999999995</v>
      </c>
      <c r="E35" s="595">
        <v>1949133.95</v>
      </c>
      <c r="F35" s="595">
        <v>2466809.08</v>
      </c>
      <c r="G35" s="595">
        <v>453373.05999999988</v>
      </c>
      <c r="H35" s="595">
        <v>2013436.0200000003</v>
      </c>
      <c r="I35" s="595">
        <v>2466809.08</v>
      </c>
      <c r="J35" s="595">
        <v>485524.09500000003</v>
      </c>
      <c r="K35" s="595">
        <v>1981284.9849999996</v>
      </c>
      <c r="L35" s="597">
        <v>881041.39485954551</v>
      </c>
      <c r="M35" s="597">
        <v>190349.08810531857</v>
      </c>
      <c r="N35" s="597">
        <v>690692.30675422715</v>
      </c>
      <c r="O35" s="595">
        <v>25894.313579741531</v>
      </c>
    </row>
    <row r="36" spans="1:15">
      <c r="A36" s="21">
        <v>34</v>
      </c>
      <c r="B36" s="596" t="s">
        <v>1746</v>
      </c>
      <c r="C36" s="595">
        <v>1356190.0299999996</v>
      </c>
      <c r="D36" s="595">
        <v>949031.66999999993</v>
      </c>
      <c r="E36" s="595">
        <v>407158.36000000004</v>
      </c>
      <c r="F36" s="595">
        <v>1356190.0299999996</v>
      </c>
      <c r="G36" s="595">
        <v>831330.10000000009</v>
      </c>
      <c r="H36" s="595">
        <v>524859.93000000017</v>
      </c>
      <c r="I36" s="595">
        <v>1356190.0299999998</v>
      </c>
      <c r="J36" s="595">
        <v>890180.88500000013</v>
      </c>
      <c r="K36" s="595">
        <v>466009.14499999996</v>
      </c>
      <c r="L36" s="597">
        <v>1356190.0299999998</v>
      </c>
      <c r="M36" s="597">
        <v>890180.88500000013</v>
      </c>
      <c r="N36" s="597">
        <v>466009.14499999996</v>
      </c>
      <c r="O36" s="595">
        <v>36210.27380100001</v>
      </c>
    </row>
    <row r="37" spans="1:15">
      <c r="A37" s="21">
        <v>35</v>
      </c>
      <c r="B37" s="596" t="s">
        <v>1747</v>
      </c>
      <c r="C37" s="595">
        <v>5487784.0599999968</v>
      </c>
      <c r="D37" s="595">
        <v>923176.65000000026</v>
      </c>
      <c r="E37" s="595">
        <v>4564607.4099999983</v>
      </c>
      <c r="F37" s="595">
        <v>5487784.0599999968</v>
      </c>
      <c r="G37" s="595">
        <v>804172.05000000016</v>
      </c>
      <c r="H37" s="595">
        <v>4683612.0100000007</v>
      </c>
      <c r="I37" s="595">
        <v>5487784.0599999968</v>
      </c>
      <c r="J37" s="595">
        <v>863674.35</v>
      </c>
      <c r="K37" s="595">
        <v>4624109.7100000009</v>
      </c>
      <c r="L37" s="597">
        <v>1487412.6016395274</v>
      </c>
      <c r="M37" s="597">
        <v>234090.85165613602</v>
      </c>
      <c r="N37" s="597">
        <v>1253321.749983391</v>
      </c>
      <c r="O37" s="595">
        <v>39933.961188545058</v>
      </c>
    </row>
    <row r="38" spans="1:15">
      <c r="A38" s="21">
        <v>36</v>
      </c>
      <c r="B38" s="596" t="s">
        <v>1748</v>
      </c>
      <c r="C38" s="595">
        <v>2908484.5100000007</v>
      </c>
      <c r="D38" s="595">
        <v>216418.64499999979</v>
      </c>
      <c r="E38" s="595">
        <v>2692065.8649999984</v>
      </c>
      <c r="F38" s="595">
        <v>2908484.5100000007</v>
      </c>
      <c r="G38" s="595">
        <v>163801.79250000007</v>
      </c>
      <c r="H38" s="595">
        <v>2744682.7174999993</v>
      </c>
      <c r="I38" s="595">
        <v>2908484.5100000007</v>
      </c>
      <c r="J38" s="595">
        <v>190110.21875000003</v>
      </c>
      <c r="K38" s="595">
        <v>2718374.2912500007</v>
      </c>
      <c r="L38" s="597">
        <v>1953023.5600000003</v>
      </c>
      <c r="M38" s="597">
        <v>127660.09250000004</v>
      </c>
      <c r="N38" s="597">
        <v>1825363.4674999998</v>
      </c>
      <c r="O38" s="595">
        <v>48317.943850999989</v>
      </c>
    </row>
    <row r="39" spans="1:15">
      <c r="A39" s="21">
        <v>37</v>
      </c>
      <c r="B39" s="596" t="s">
        <v>1749</v>
      </c>
      <c r="C39" s="595">
        <v>1519702.98</v>
      </c>
      <c r="D39" s="595">
        <v>113272.84499999999</v>
      </c>
      <c r="E39" s="595">
        <v>1406430.1350000002</v>
      </c>
      <c r="F39" s="595">
        <v>1519702.98</v>
      </c>
      <c r="G39" s="595">
        <v>85602.367500000008</v>
      </c>
      <c r="H39" s="595">
        <v>1434100.6125000003</v>
      </c>
      <c r="I39" s="595">
        <v>1519702.98</v>
      </c>
      <c r="J39" s="595">
        <v>99437.606249999983</v>
      </c>
      <c r="K39" s="595">
        <v>1420265.37375</v>
      </c>
      <c r="L39" s="597">
        <v>1519702.98</v>
      </c>
      <c r="M39" s="597">
        <v>99437.606249999983</v>
      </c>
      <c r="N39" s="597">
        <v>1420265.37375</v>
      </c>
      <c r="O39" s="595">
        <v>38662.176965499995</v>
      </c>
    </row>
    <row r="40" spans="1:15">
      <c r="A40" s="21">
        <v>38</v>
      </c>
      <c r="B40" s="596" t="s">
        <v>1750</v>
      </c>
      <c r="C40" s="595">
        <v>7178320.2299999921</v>
      </c>
      <c r="D40" s="595">
        <v>301971.66999999975</v>
      </c>
      <c r="E40" s="595">
        <v>6876348.5599999987</v>
      </c>
      <c r="F40" s="595">
        <v>7178320.2299999921</v>
      </c>
      <c r="G40" s="595">
        <v>169251.68999999974</v>
      </c>
      <c r="H40" s="595">
        <v>7009068.540000001</v>
      </c>
      <c r="I40" s="595">
        <v>7178320.2299999921</v>
      </c>
      <c r="J40" s="595">
        <v>235611.68000000008</v>
      </c>
      <c r="K40" s="595">
        <v>6942708.5500000119</v>
      </c>
      <c r="L40" s="597">
        <v>7178320.2299999921</v>
      </c>
      <c r="M40" s="597">
        <v>235611.68000000008</v>
      </c>
      <c r="N40" s="597">
        <v>6942708.5500000119</v>
      </c>
      <c r="O40" s="595">
        <v>191281.63195799975</v>
      </c>
    </row>
    <row r="41" spans="1:15">
      <c r="A41" s="21">
        <v>39</v>
      </c>
      <c r="B41" s="596"/>
      <c r="C41" s="595"/>
      <c r="D41" s="595"/>
      <c r="E41" s="595"/>
      <c r="F41" s="595"/>
      <c r="G41" s="595"/>
      <c r="H41" s="595"/>
      <c r="I41" s="595"/>
      <c r="J41" s="595"/>
      <c r="K41" s="595"/>
      <c r="L41" s="597"/>
      <c r="M41" s="597"/>
      <c r="N41" s="597"/>
      <c r="O41" s="595"/>
    </row>
    <row r="42" spans="1:15">
      <c r="A42" s="21">
        <v>40</v>
      </c>
      <c r="B42" s="596"/>
      <c r="C42" s="595"/>
      <c r="D42" s="595"/>
      <c r="E42" s="595"/>
      <c r="F42" s="595"/>
      <c r="G42" s="595"/>
      <c r="H42" s="595"/>
      <c r="I42" s="595"/>
      <c r="J42" s="595"/>
      <c r="K42" s="595"/>
      <c r="L42" s="597"/>
      <c r="M42" s="597"/>
      <c r="N42" s="597"/>
      <c r="O42" s="595"/>
    </row>
    <row r="43" spans="1:15">
      <c r="A43" s="21">
        <v>41</v>
      </c>
      <c r="B43" s="596"/>
      <c r="C43" s="595"/>
      <c r="D43" s="595"/>
      <c r="E43" s="595"/>
      <c r="F43" s="595"/>
      <c r="G43" s="595"/>
      <c r="H43" s="595"/>
      <c r="I43" s="595"/>
      <c r="J43" s="595"/>
      <c r="K43" s="595"/>
      <c r="L43" s="597"/>
      <c r="M43" s="597"/>
      <c r="N43" s="597"/>
      <c r="O43" s="595"/>
    </row>
    <row r="44" spans="1:15">
      <c r="A44" s="21">
        <v>42</v>
      </c>
      <c r="B44" s="596"/>
      <c r="C44" s="595"/>
      <c r="D44" s="595"/>
      <c r="E44" s="595"/>
      <c r="F44" s="595"/>
      <c r="G44" s="595"/>
      <c r="H44" s="595"/>
      <c r="I44" s="595"/>
      <c r="J44" s="595"/>
      <c r="K44" s="595"/>
      <c r="L44" s="597"/>
      <c r="M44" s="597"/>
      <c r="N44" s="597"/>
      <c r="O44" s="595"/>
    </row>
    <row r="45" spans="1:15">
      <c r="A45" s="21">
        <v>43</v>
      </c>
      <c r="B45" s="596"/>
      <c r="C45" s="595"/>
      <c r="D45" s="595"/>
      <c r="E45" s="595"/>
      <c r="F45" s="595"/>
      <c r="G45" s="595"/>
      <c r="H45" s="595"/>
      <c r="I45" s="595"/>
      <c r="J45" s="595"/>
      <c r="K45" s="595"/>
      <c r="L45" s="597"/>
      <c r="M45" s="597"/>
      <c r="N45" s="597"/>
      <c r="O45" s="595"/>
    </row>
    <row r="46" spans="1:15">
      <c r="A46" s="21">
        <v>44</v>
      </c>
      <c r="B46" s="596"/>
      <c r="C46" s="595"/>
      <c r="D46" s="595"/>
      <c r="E46" s="595"/>
      <c r="F46" s="595"/>
      <c r="G46" s="595"/>
      <c r="H46" s="595"/>
      <c r="I46" s="595"/>
      <c r="J46" s="595"/>
      <c r="K46" s="595"/>
      <c r="L46" s="597"/>
      <c r="M46" s="597"/>
      <c r="N46" s="597"/>
      <c r="O46" s="595"/>
    </row>
    <row r="47" spans="1:15">
      <c r="A47" s="21">
        <v>45</v>
      </c>
      <c r="B47" s="596"/>
      <c r="C47" s="595"/>
      <c r="D47" s="595"/>
      <c r="E47" s="595"/>
      <c r="F47" s="595"/>
      <c r="G47" s="595"/>
      <c r="H47" s="595"/>
      <c r="I47" s="595"/>
      <c r="J47" s="595"/>
      <c r="K47" s="595"/>
      <c r="L47" s="597"/>
      <c r="M47" s="597"/>
      <c r="N47" s="597"/>
      <c r="O47" s="595"/>
    </row>
    <row r="48" spans="1:15">
      <c r="A48" s="21">
        <v>46</v>
      </c>
      <c r="B48" s="596"/>
      <c r="C48" s="595"/>
      <c r="D48" s="595"/>
      <c r="E48" s="595"/>
      <c r="F48" s="595"/>
      <c r="G48" s="595"/>
      <c r="H48" s="595"/>
      <c r="I48" s="595"/>
      <c r="J48" s="595"/>
      <c r="K48" s="595"/>
      <c r="L48" s="597"/>
      <c r="M48" s="597"/>
      <c r="N48" s="597"/>
      <c r="O48" s="595"/>
    </row>
    <row r="49" spans="1:15">
      <c r="A49" s="21">
        <v>47</v>
      </c>
      <c r="B49" s="596"/>
      <c r="C49" s="595"/>
      <c r="D49" s="595"/>
      <c r="E49" s="595"/>
      <c r="F49" s="595"/>
      <c r="G49" s="595"/>
      <c r="H49" s="595"/>
      <c r="I49" s="595"/>
      <c r="J49" s="595"/>
      <c r="K49" s="595"/>
      <c r="L49" s="597"/>
      <c r="M49" s="597"/>
      <c r="N49" s="597"/>
      <c r="O49" s="595"/>
    </row>
    <row r="50" spans="1:15">
      <c r="A50" s="21">
        <v>48</v>
      </c>
      <c r="B50" s="598"/>
      <c r="C50" s="597"/>
      <c r="D50" s="597"/>
      <c r="E50" s="597"/>
      <c r="F50" s="597"/>
      <c r="G50" s="597"/>
      <c r="H50" s="597"/>
      <c r="I50" s="595"/>
      <c r="J50" s="595"/>
      <c r="K50" s="595"/>
      <c r="L50" s="597"/>
      <c r="M50" s="597"/>
      <c r="N50" s="597"/>
      <c r="O50" s="595"/>
    </row>
    <row r="51" spans="1:15">
      <c r="A51" s="21">
        <v>49</v>
      </c>
      <c r="B51" s="596"/>
      <c r="C51" s="595"/>
      <c r="D51" s="595"/>
      <c r="E51" s="595"/>
      <c r="F51" s="595"/>
      <c r="G51" s="595"/>
      <c r="H51" s="595"/>
      <c r="I51" s="595"/>
      <c r="J51" s="595"/>
      <c r="K51" s="595"/>
      <c r="L51" s="597"/>
      <c r="M51" s="597"/>
      <c r="N51" s="597"/>
      <c r="O51" s="595"/>
    </row>
    <row r="52" spans="1:15">
      <c r="A52" s="21">
        <v>50</v>
      </c>
      <c r="B52" s="596"/>
      <c r="C52" s="595"/>
      <c r="D52" s="595"/>
      <c r="E52" s="595"/>
      <c r="F52" s="595"/>
      <c r="G52" s="595"/>
      <c r="H52" s="595"/>
      <c r="I52" s="595"/>
      <c r="J52" s="595"/>
      <c r="K52" s="595"/>
      <c r="L52" s="597"/>
      <c r="M52" s="597"/>
      <c r="N52" s="597"/>
      <c r="O52" s="595"/>
    </row>
    <row r="53" spans="1:15">
      <c r="A53" s="21">
        <v>51</v>
      </c>
      <c r="B53" s="596"/>
      <c r="C53" s="595"/>
      <c r="D53" s="595"/>
      <c r="E53" s="595"/>
      <c r="F53" s="595"/>
      <c r="G53" s="595"/>
      <c r="H53" s="595"/>
      <c r="I53" s="595"/>
      <c r="J53" s="595"/>
      <c r="K53" s="595"/>
      <c r="L53" s="597"/>
      <c r="M53" s="597"/>
      <c r="N53" s="597"/>
      <c r="O53" s="595"/>
    </row>
    <row r="54" spans="1:15">
      <c r="A54" s="21">
        <v>52</v>
      </c>
      <c r="B54" s="739"/>
      <c r="C54" s="595"/>
      <c r="D54" s="595"/>
      <c r="E54" s="595"/>
      <c r="F54" s="595"/>
      <c r="G54" s="595"/>
      <c r="H54" s="595"/>
      <c r="I54" s="595"/>
      <c r="J54" s="595"/>
      <c r="K54" s="595"/>
      <c r="L54" s="597"/>
      <c r="M54" s="597"/>
      <c r="N54" s="597"/>
      <c r="O54" s="595"/>
    </row>
    <row r="55" spans="1:15">
      <c r="A55" s="21">
        <v>53</v>
      </c>
      <c r="C55" s="565"/>
      <c r="D55" s="565"/>
      <c r="E55" s="565"/>
      <c r="F55" s="565"/>
      <c r="G55" s="565"/>
      <c r="H55" s="565"/>
      <c r="I55" s="565"/>
      <c r="J55" s="565"/>
      <c r="K55" s="565"/>
      <c r="L55" s="565"/>
      <c r="M55" s="565"/>
      <c r="N55" s="566"/>
      <c r="O55" s="565"/>
    </row>
    <row r="56" spans="1:15" ht="15" thickBot="1">
      <c r="A56" s="21">
        <v>54</v>
      </c>
      <c r="B56" s="563" t="s">
        <v>1369</v>
      </c>
      <c r="C56" s="567">
        <f t="shared" ref="C56:N56" si="0">SUM(C3:C55)</f>
        <v>119397453.38000003</v>
      </c>
      <c r="D56" s="567">
        <f t="shared" si="0"/>
        <v>48882410.369999997</v>
      </c>
      <c r="E56" s="567">
        <f t="shared" si="0"/>
        <v>70515043.00999999</v>
      </c>
      <c r="F56" s="567">
        <f t="shared" si="0"/>
        <v>116631581.73</v>
      </c>
      <c r="G56" s="567">
        <f t="shared" si="0"/>
        <v>46391788.989999995</v>
      </c>
      <c r="H56" s="567">
        <f t="shared" si="0"/>
        <v>70229083.799999997</v>
      </c>
      <c r="I56" s="567">
        <f t="shared" si="0"/>
        <v>118014517.55500002</v>
      </c>
      <c r="J56" s="567">
        <f t="shared" si="0"/>
        <v>47637099.680000007</v>
      </c>
      <c r="K56" s="567">
        <f t="shared" si="0"/>
        <v>70377417.875</v>
      </c>
      <c r="L56" s="567">
        <f t="shared" si="0"/>
        <v>85279144.388324827</v>
      </c>
      <c r="M56" s="567">
        <f t="shared" si="0"/>
        <v>35519691.656922147</v>
      </c>
      <c r="N56" s="567">
        <f t="shared" si="0"/>
        <v>49759452.731402703</v>
      </c>
      <c r="O56" s="567">
        <f>SUM(O3:O55)</f>
        <v>2272715.0992078166</v>
      </c>
    </row>
    <row r="57" spans="1:15" ht="13.8" thickTop="1">
      <c r="A57" s="21">
        <v>55</v>
      </c>
      <c r="I57" s="568"/>
      <c r="J57" s="568"/>
      <c r="K57" s="568"/>
      <c r="L57" s="568"/>
      <c r="M57" s="568"/>
      <c r="N57" s="568"/>
      <c r="O57" s="568"/>
    </row>
    <row r="58" spans="1:15">
      <c r="A58" s="21">
        <v>56</v>
      </c>
      <c r="I58" s="565"/>
      <c r="J58" s="895" t="s">
        <v>807</v>
      </c>
      <c r="K58" s="896"/>
      <c r="L58" s="896"/>
      <c r="N58" s="740"/>
      <c r="O58" s="568"/>
    </row>
    <row r="59" spans="1:15">
      <c r="A59" s="21">
        <v>57</v>
      </c>
      <c r="J59" s="897" t="s">
        <v>774</v>
      </c>
      <c r="K59" s="896"/>
      <c r="L59" s="898">
        <v>333465.46090711729</v>
      </c>
      <c r="N59" s="740"/>
      <c r="O59" s="568"/>
    </row>
    <row r="60" spans="1:15">
      <c r="A60" s="21">
        <v>58</v>
      </c>
      <c r="J60" s="897" t="s">
        <v>775</v>
      </c>
      <c r="K60" s="896"/>
      <c r="L60" s="898">
        <v>636974.34984496131</v>
      </c>
      <c r="N60" s="740"/>
      <c r="O60" s="568"/>
    </row>
    <row r="61" spans="1:15">
      <c r="A61" s="21">
        <v>59</v>
      </c>
      <c r="J61" s="897" t="s">
        <v>1652</v>
      </c>
      <c r="K61" s="898"/>
      <c r="L61" s="898">
        <v>580950.10006073001</v>
      </c>
      <c r="N61" s="740"/>
      <c r="O61" s="568"/>
    </row>
    <row r="62" spans="1:15">
      <c r="A62" s="21">
        <v>60</v>
      </c>
      <c r="J62" s="897" t="s">
        <v>776</v>
      </c>
      <c r="K62" s="896"/>
      <c r="L62" s="898">
        <v>4202904.0836742427</v>
      </c>
      <c r="N62" s="740"/>
      <c r="O62" s="568"/>
    </row>
    <row r="63" spans="1:15">
      <c r="A63" s="21">
        <v>61</v>
      </c>
      <c r="J63" s="897" t="s">
        <v>777</v>
      </c>
      <c r="K63" s="896"/>
      <c r="L63" s="898">
        <v>39807986.672865704</v>
      </c>
      <c r="N63" s="740"/>
      <c r="O63" s="568"/>
    </row>
    <row r="64" spans="1:15">
      <c r="A64" s="21">
        <v>62</v>
      </c>
      <c r="J64" s="897" t="s">
        <v>778</v>
      </c>
      <c r="K64" s="896"/>
      <c r="L64" s="898">
        <v>25193285.333490796</v>
      </c>
      <c r="N64" s="740"/>
      <c r="O64" s="740"/>
    </row>
    <row r="65" spans="1:15">
      <c r="A65" s="21">
        <v>63</v>
      </c>
      <c r="J65" s="897" t="s">
        <v>779</v>
      </c>
      <c r="K65" s="898"/>
      <c r="L65" s="898">
        <v>14471046.531320106</v>
      </c>
      <c r="N65" s="740"/>
      <c r="O65" s="740"/>
    </row>
    <row r="66" spans="1:15">
      <c r="A66" s="21">
        <v>64</v>
      </c>
      <c r="J66" s="897" t="s">
        <v>883</v>
      </c>
      <c r="K66" s="899"/>
      <c r="L66" s="898">
        <v>0</v>
      </c>
      <c r="N66" s="740"/>
      <c r="O66" s="740"/>
    </row>
    <row r="67" spans="1:15">
      <c r="A67" s="21">
        <v>65</v>
      </c>
      <c r="J67" s="897" t="s">
        <v>857</v>
      </c>
      <c r="K67" s="899"/>
      <c r="L67" s="898">
        <v>52531.856161240306</v>
      </c>
    </row>
    <row r="68" spans="1:15">
      <c r="A68" s="21">
        <v>66</v>
      </c>
      <c r="J68" s="897" t="s">
        <v>884</v>
      </c>
      <c r="K68" s="899"/>
      <c r="L68" s="898">
        <v>0</v>
      </c>
    </row>
    <row r="69" spans="1:15">
      <c r="A69" s="21">
        <v>67</v>
      </c>
      <c r="J69" s="897"/>
      <c r="K69" s="899"/>
      <c r="L69" s="898"/>
    </row>
    <row r="70" spans="1:15">
      <c r="A70" s="21">
        <v>68</v>
      </c>
      <c r="J70" s="897"/>
      <c r="K70" s="899"/>
      <c r="L70" s="898"/>
    </row>
    <row r="71" spans="1:15">
      <c r="A71" s="21">
        <v>69</v>
      </c>
      <c r="J71" s="897"/>
      <c r="K71" s="899"/>
      <c r="L71" s="898"/>
    </row>
    <row r="72" spans="1:15">
      <c r="A72" s="21">
        <v>70</v>
      </c>
      <c r="J72" s="897"/>
      <c r="K72" s="899"/>
      <c r="L72" s="898"/>
    </row>
    <row r="73" spans="1:15" ht="15" thickBot="1">
      <c r="A73" s="21">
        <v>71</v>
      </c>
      <c r="J73" s="898"/>
      <c r="K73" s="898"/>
      <c r="L73" s="900">
        <f>SUM(L59:L68)</f>
        <v>85279144.388324901</v>
      </c>
    </row>
    <row r="74" spans="1:15" ht="15" thickTop="1">
      <c r="A74" s="21"/>
      <c r="C74" s="740"/>
      <c r="D74" s="740"/>
      <c r="E74" s="740"/>
      <c r="F74" s="740"/>
      <c r="G74" s="740"/>
      <c r="H74" s="740"/>
      <c r="I74" s="741"/>
      <c r="J74" s="741"/>
      <c r="K74" s="741"/>
      <c r="L74" s="742"/>
      <c r="M74" s="742"/>
      <c r="N74" s="742"/>
    </row>
    <row r="75" spans="1:15">
      <c r="C75" s="743"/>
      <c r="D75" s="743"/>
      <c r="E75" s="743"/>
      <c r="F75" s="743"/>
      <c r="G75" s="743"/>
      <c r="H75" s="743"/>
      <c r="I75" s="743"/>
      <c r="J75" s="743"/>
      <c r="K75" s="743"/>
      <c r="L75" s="743"/>
      <c r="M75" s="743"/>
      <c r="N75" s="743"/>
    </row>
  </sheetData>
  <pageMargins left="0.7" right="0.7" top="0.75" bottom="0.75" header="0.3" footer="0.3"/>
  <pageSetup scale="41" orientation="landscape" r:id="rId1"/>
  <headerFooter>
    <oddHeader>&amp;C&amp;"Arial,Bold"ADDENDUM 27 TO ATTACHMENT H, Page &amp;P of &amp;N
NorthWestern Corporation (South Dakota)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958"/>
  <sheetViews>
    <sheetView view="pageBreakPreview" zoomScale="70" zoomScaleNormal="70" zoomScaleSheetLayoutView="70" workbookViewId="0">
      <selection activeCell="M8" sqref="M8"/>
    </sheetView>
  </sheetViews>
  <sheetFormatPr defaultColWidth="8.88671875" defaultRowHeight="15"/>
  <cols>
    <col min="1" max="1" width="5.88671875" style="6" customWidth="1"/>
    <col min="2" max="2" width="9.88671875" style="6" customWidth="1"/>
    <col min="3" max="3" width="10.6640625" style="6" customWidth="1"/>
    <col min="4" max="4" width="11.6640625" style="6" customWidth="1"/>
    <col min="5" max="5" width="13.6640625" style="6" customWidth="1"/>
    <col min="6" max="6" width="8.6640625" style="6" customWidth="1"/>
    <col min="7" max="7" width="15.88671875" style="6" customWidth="1"/>
    <col min="8" max="8" width="16.88671875" style="6" customWidth="1"/>
    <col min="9" max="9" width="12.88671875" style="6" bestFit="1" customWidth="1"/>
    <col min="10" max="10" width="19.109375" style="6" customWidth="1"/>
    <col min="11" max="11" width="24.109375" style="6" customWidth="1"/>
    <col min="12" max="12" width="21.44140625" style="6" customWidth="1"/>
    <col min="13" max="13" width="21.6640625" style="6" customWidth="1"/>
    <col min="14" max="14" width="15.44140625" style="6" customWidth="1"/>
    <col min="15" max="15" width="16.88671875" style="6" customWidth="1"/>
    <col min="16" max="16" width="15.5546875" style="6" customWidth="1"/>
    <col min="17" max="18" width="13.6640625" style="6" customWidth="1"/>
    <col min="19" max="21" width="7.6640625" style="6" bestFit="1" customWidth="1"/>
    <col min="22" max="25" width="13.6640625" style="6" customWidth="1"/>
    <col min="26" max="16384" width="8.88671875" style="6"/>
  </cols>
  <sheetData>
    <row r="1" spans="1:20" ht="15.6">
      <c r="B1" s="975" t="s">
        <v>981</v>
      </c>
      <c r="C1" s="975"/>
      <c r="D1" s="975"/>
      <c r="E1" s="975"/>
      <c r="F1" s="975"/>
      <c r="G1" s="975"/>
      <c r="H1" s="975"/>
      <c r="I1" s="975"/>
      <c r="J1" s="975"/>
      <c r="K1" s="975"/>
      <c r="L1" s="975"/>
      <c r="M1" s="975"/>
      <c r="N1" s="975"/>
      <c r="O1" s="975"/>
      <c r="P1" s="5"/>
      <c r="Q1" s="5"/>
      <c r="R1" s="5"/>
      <c r="S1" s="5"/>
      <c r="T1" s="5"/>
    </row>
    <row r="2" spans="1:20">
      <c r="B2" s="976" t="str">
        <f>Inputs!B2</f>
        <v>(For Rate Year Beginning April 1, 2026, Based on December 31, 2025 Data)</v>
      </c>
      <c r="C2" s="976"/>
      <c r="D2" s="976"/>
      <c r="E2" s="976"/>
      <c r="F2" s="976"/>
      <c r="G2" s="976"/>
      <c r="H2" s="976"/>
      <c r="I2" s="976"/>
      <c r="J2" s="976"/>
      <c r="K2" s="976"/>
      <c r="L2" s="976"/>
      <c r="M2" s="976"/>
      <c r="N2" s="976"/>
      <c r="O2" s="976"/>
      <c r="P2" s="10"/>
      <c r="Q2" s="10"/>
      <c r="R2" s="10"/>
      <c r="S2" s="10"/>
      <c r="T2" s="10"/>
    </row>
    <row r="3" spans="1:20" ht="8.1" customHeight="1">
      <c r="B3" s="10"/>
      <c r="C3" s="10"/>
      <c r="D3" s="10"/>
      <c r="E3" s="10"/>
      <c r="F3" s="10"/>
      <c r="G3" s="10"/>
      <c r="H3" s="10"/>
      <c r="I3" s="10"/>
      <c r="J3" s="10"/>
      <c r="K3" s="10"/>
      <c r="L3" s="10"/>
      <c r="M3" s="10"/>
      <c r="N3" s="10"/>
      <c r="O3" s="10"/>
      <c r="P3" s="10"/>
      <c r="Q3" s="10"/>
      <c r="R3" s="10"/>
      <c r="S3" s="10"/>
      <c r="T3" s="10"/>
    </row>
    <row r="4" spans="1:20" ht="15.6">
      <c r="B4" s="1" t="s">
        <v>982</v>
      </c>
      <c r="C4" s="1"/>
      <c r="D4" s="1"/>
      <c r="E4" s="1"/>
      <c r="I4" s="1163"/>
      <c r="J4" s="1163"/>
      <c r="K4" s="652"/>
    </row>
    <row r="5" spans="1:20" ht="15.6" thickBot="1">
      <c r="A5" s="623" t="s">
        <v>909</v>
      </c>
    </row>
    <row r="6" spans="1:20" ht="16.5" customHeight="1" thickBot="1">
      <c r="B6" s="1137" t="s">
        <v>955</v>
      </c>
      <c r="C6" s="1138"/>
      <c r="D6" s="1138"/>
      <c r="E6" s="1138"/>
      <c r="F6" s="1138"/>
      <c r="G6" s="1138"/>
      <c r="H6" s="1138"/>
      <c r="I6" s="1138"/>
      <c r="J6" s="1138"/>
      <c r="K6" s="1138"/>
      <c r="L6" s="1138"/>
      <c r="M6" s="1138"/>
      <c r="N6" s="1138"/>
      <c r="O6" s="1139"/>
    </row>
    <row r="7" spans="1:20" ht="60.6" thickBot="1">
      <c r="B7" s="715" t="s">
        <v>910</v>
      </c>
      <c r="C7" s="716" t="s">
        <v>911</v>
      </c>
      <c r="D7" s="1164" t="s">
        <v>912</v>
      </c>
      <c r="E7" s="1165"/>
      <c r="F7" s="1165"/>
      <c r="G7" s="1165"/>
      <c r="H7" s="1166"/>
      <c r="I7" s="717" t="s">
        <v>913</v>
      </c>
      <c r="J7" s="718" t="s">
        <v>966</v>
      </c>
      <c r="K7" s="719" t="s">
        <v>914</v>
      </c>
      <c r="L7" s="717" t="s">
        <v>915</v>
      </c>
      <c r="M7" s="717" t="s">
        <v>977</v>
      </c>
      <c r="N7" s="720" t="s">
        <v>978</v>
      </c>
      <c r="O7" s="720" t="s">
        <v>979</v>
      </c>
    </row>
    <row r="8" spans="1:20">
      <c r="A8" s="10">
        <v>1</v>
      </c>
      <c r="B8" s="643">
        <f>F145</f>
        <v>132893</v>
      </c>
      <c r="C8" s="696">
        <v>3</v>
      </c>
      <c r="D8" s="1167" t="str">
        <f>E143</f>
        <v>Aberdeen "A" Tap Site</v>
      </c>
      <c r="E8" s="1168"/>
      <c r="F8" s="1168"/>
      <c r="G8" s="1168"/>
      <c r="H8" s="1169"/>
      <c r="I8" s="697">
        <f>F148</f>
        <v>44470</v>
      </c>
      <c r="J8" s="690">
        <f>L149</f>
        <v>1420265.37375</v>
      </c>
      <c r="K8" s="691">
        <f>L186</f>
        <v>195107.51263239485</v>
      </c>
      <c r="L8" s="698">
        <f>L191</f>
        <v>0</v>
      </c>
      <c r="M8" s="690">
        <f>K8+L8</f>
        <v>195107.51263239485</v>
      </c>
      <c r="N8" s="693">
        <f>Inputs!$D$116*(M8/$M$128)</f>
        <v>13243</v>
      </c>
      <c r="O8" s="701">
        <f>M8-N8</f>
        <v>181864.51263239485</v>
      </c>
    </row>
    <row r="9" spans="1:20">
      <c r="A9" s="10">
        <f>A8+1</f>
        <v>2</v>
      </c>
      <c r="B9" s="643">
        <f>F214</f>
        <v>0</v>
      </c>
      <c r="C9" s="644">
        <v>4</v>
      </c>
      <c r="D9" s="1142">
        <f>E212</f>
        <v>0</v>
      </c>
      <c r="E9" s="1143"/>
      <c r="F9" s="1143"/>
      <c r="G9" s="1143"/>
      <c r="H9" s="1144"/>
      <c r="I9" s="695">
        <f>F217</f>
        <v>0</v>
      </c>
      <c r="J9" s="692">
        <f>L218</f>
        <v>0</v>
      </c>
      <c r="K9" s="693">
        <f>L251</f>
        <v>0</v>
      </c>
      <c r="L9" s="699">
        <f>L256</f>
        <v>0</v>
      </c>
      <c r="M9" s="693">
        <f t="shared" ref="M9:M19" si="0">K9+L9</f>
        <v>0</v>
      </c>
      <c r="N9" s="658">
        <f>Inputs!$D$116*(M9/$M$128)</f>
        <v>0</v>
      </c>
      <c r="O9" s="702">
        <f t="shared" ref="O9:O19" si="1">M9-N9</f>
        <v>0</v>
      </c>
    </row>
    <row r="10" spans="1:20">
      <c r="A10" s="10">
        <f t="shared" ref="A10:A61" si="2">A9+1</f>
        <v>3</v>
      </c>
      <c r="B10" s="643">
        <f>F283</f>
        <v>0</v>
      </c>
      <c r="C10" s="644">
        <v>5</v>
      </c>
      <c r="D10" s="1142">
        <f>E281</f>
        <v>0</v>
      </c>
      <c r="E10" s="1143"/>
      <c r="F10" s="1143"/>
      <c r="G10" s="1143"/>
      <c r="H10" s="1144"/>
      <c r="I10" s="695">
        <f>F286</f>
        <v>0</v>
      </c>
      <c r="J10" s="692">
        <f>L287</f>
        <v>0</v>
      </c>
      <c r="K10" s="693">
        <f>L320</f>
        <v>0</v>
      </c>
      <c r="L10" s="699">
        <f>L325</f>
        <v>0</v>
      </c>
      <c r="M10" s="693">
        <f t="shared" si="0"/>
        <v>0</v>
      </c>
      <c r="N10" s="658">
        <f>Inputs!$D$116*(M10/$M$128)</f>
        <v>0</v>
      </c>
      <c r="O10" s="702">
        <f t="shared" si="1"/>
        <v>0</v>
      </c>
    </row>
    <row r="11" spans="1:20">
      <c r="A11" s="10">
        <f t="shared" si="2"/>
        <v>4</v>
      </c>
      <c r="B11" s="643">
        <f>F352</f>
        <v>0</v>
      </c>
      <c r="C11" s="644">
        <v>6</v>
      </c>
      <c r="D11" s="1142">
        <f>E350</f>
        <v>0</v>
      </c>
      <c r="E11" s="1143"/>
      <c r="F11" s="1143"/>
      <c r="G11" s="1143"/>
      <c r="H11" s="1144"/>
      <c r="I11" s="695">
        <f>F355</f>
        <v>0</v>
      </c>
      <c r="J11" s="692">
        <f>L361</f>
        <v>0</v>
      </c>
      <c r="K11" s="693">
        <f>L389</f>
        <v>0</v>
      </c>
      <c r="L11" s="699">
        <f>L394</f>
        <v>0</v>
      </c>
      <c r="M11" s="693">
        <f t="shared" si="0"/>
        <v>0</v>
      </c>
      <c r="N11" s="658">
        <f>Inputs!$D$116*(M11/$M$128)</f>
        <v>0</v>
      </c>
      <c r="O11" s="702">
        <f t="shared" si="1"/>
        <v>0</v>
      </c>
    </row>
    <row r="12" spans="1:20">
      <c r="A12" s="10">
        <f t="shared" si="2"/>
        <v>5</v>
      </c>
      <c r="B12" s="643">
        <f>F421</f>
        <v>0</v>
      </c>
      <c r="C12" s="644">
        <v>7</v>
      </c>
      <c r="D12" s="1142">
        <f>E419</f>
        <v>0</v>
      </c>
      <c r="E12" s="1143"/>
      <c r="F12" s="1143"/>
      <c r="G12" s="1143"/>
      <c r="H12" s="1144"/>
      <c r="I12" s="695">
        <f>F424</f>
        <v>0</v>
      </c>
      <c r="J12" s="692">
        <f>L425</f>
        <v>0</v>
      </c>
      <c r="K12" s="693">
        <f>L458</f>
        <v>0</v>
      </c>
      <c r="L12" s="699">
        <f>L463</f>
        <v>0</v>
      </c>
      <c r="M12" s="693">
        <f t="shared" si="0"/>
        <v>0</v>
      </c>
      <c r="N12" s="658">
        <f>Inputs!$D$116*(M12/$M$128)</f>
        <v>0</v>
      </c>
      <c r="O12" s="702">
        <f t="shared" si="1"/>
        <v>0</v>
      </c>
    </row>
    <row r="13" spans="1:20">
      <c r="A13" s="10">
        <f t="shared" si="2"/>
        <v>6</v>
      </c>
      <c r="B13" s="643">
        <f>F490</f>
        <v>0</v>
      </c>
      <c r="C13" s="644">
        <v>8</v>
      </c>
      <c r="D13" s="1142">
        <f>E488</f>
        <v>0</v>
      </c>
      <c r="E13" s="1143"/>
      <c r="F13" s="1143"/>
      <c r="G13" s="1143"/>
      <c r="H13" s="1144"/>
      <c r="I13" s="695">
        <f>F493</f>
        <v>0</v>
      </c>
      <c r="J13" s="692">
        <f>L494</f>
        <v>0</v>
      </c>
      <c r="K13" s="693">
        <f>L527</f>
        <v>0</v>
      </c>
      <c r="L13" s="699">
        <f>L532</f>
        <v>0</v>
      </c>
      <c r="M13" s="693">
        <f t="shared" si="0"/>
        <v>0</v>
      </c>
      <c r="N13" s="658">
        <f>Inputs!$D$116*(M13/$M$128)</f>
        <v>0</v>
      </c>
      <c r="O13" s="702">
        <f t="shared" si="1"/>
        <v>0</v>
      </c>
    </row>
    <row r="14" spans="1:20">
      <c r="A14" s="10">
        <f t="shared" si="2"/>
        <v>7</v>
      </c>
      <c r="B14" s="643">
        <f>F559</f>
        <v>0</v>
      </c>
      <c r="C14" s="644">
        <v>9</v>
      </c>
      <c r="D14" s="1142">
        <f>E557</f>
        <v>0</v>
      </c>
      <c r="E14" s="1143"/>
      <c r="F14" s="1143"/>
      <c r="G14" s="1143"/>
      <c r="H14" s="1144"/>
      <c r="I14" s="695">
        <f>F562</f>
        <v>0</v>
      </c>
      <c r="J14" s="692">
        <f>L563</f>
        <v>0</v>
      </c>
      <c r="K14" s="693">
        <f>L596</f>
        <v>0</v>
      </c>
      <c r="L14" s="699">
        <f>L601</f>
        <v>0</v>
      </c>
      <c r="M14" s="693">
        <f t="shared" si="0"/>
        <v>0</v>
      </c>
      <c r="N14" s="658">
        <f>Inputs!$D$116*(M14/$M$128)</f>
        <v>0</v>
      </c>
      <c r="O14" s="702">
        <f t="shared" si="1"/>
        <v>0</v>
      </c>
    </row>
    <row r="15" spans="1:20">
      <c r="A15" s="10">
        <f t="shared" si="2"/>
        <v>8</v>
      </c>
      <c r="B15" s="643">
        <f>F628</f>
        <v>0</v>
      </c>
      <c r="C15" s="644">
        <v>10</v>
      </c>
      <c r="D15" s="1142">
        <f>E626</f>
        <v>0</v>
      </c>
      <c r="E15" s="1143"/>
      <c r="F15" s="1143"/>
      <c r="G15" s="1143"/>
      <c r="H15" s="1144"/>
      <c r="I15" s="695">
        <f>F631</f>
        <v>0</v>
      </c>
      <c r="J15" s="692">
        <f>L632</f>
        <v>0</v>
      </c>
      <c r="K15" s="693">
        <f>L665</f>
        <v>0</v>
      </c>
      <c r="L15" s="699">
        <f>L670</f>
        <v>0</v>
      </c>
      <c r="M15" s="693">
        <f t="shared" si="0"/>
        <v>0</v>
      </c>
      <c r="N15" s="658">
        <f>Inputs!$D$116*(M15/$M$128)</f>
        <v>0</v>
      </c>
      <c r="O15" s="702">
        <f t="shared" si="1"/>
        <v>0</v>
      </c>
    </row>
    <row r="16" spans="1:20">
      <c r="A16" s="10">
        <f t="shared" si="2"/>
        <v>9</v>
      </c>
      <c r="B16" s="643">
        <f>F697</f>
        <v>0</v>
      </c>
      <c r="C16" s="644">
        <v>11</v>
      </c>
      <c r="D16" s="1142">
        <f>E695</f>
        <v>0</v>
      </c>
      <c r="E16" s="1143"/>
      <c r="F16" s="1143"/>
      <c r="G16" s="1143"/>
      <c r="H16" s="1144"/>
      <c r="I16" s="695">
        <f>F700</f>
        <v>0</v>
      </c>
      <c r="J16" s="692">
        <f>L701</f>
        <v>0</v>
      </c>
      <c r="K16" s="693">
        <f>L734</f>
        <v>0</v>
      </c>
      <c r="L16" s="699">
        <f>L739</f>
        <v>0</v>
      </c>
      <c r="M16" s="693">
        <f t="shared" si="0"/>
        <v>0</v>
      </c>
      <c r="N16" s="658">
        <f>Inputs!$D$116*(M16/$M$128)</f>
        <v>0</v>
      </c>
      <c r="O16" s="702">
        <f t="shared" si="1"/>
        <v>0</v>
      </c>
    </row>
    <row r="17" spans="1:15">
      <c r="A17" s="10">
        <f t="shared" si="2"/>
        <v>10</v>
      </c>
      <c r="B17" s="643">
        <f>F766</f>
        <v>0</v>
      </c>
      <c r="C17" s="644">
        <v>12</v>
      </c>
      <c r="D17" s="1142">
        <f>E764</f>
        <v>0</v>
      </c>
      <c r="E17" s="1143"/>
      <c r="F17" s="1143"/>
      <c r="G17" s="1143"/>
      <c r="H17" s="1144"/>
      <c r="I17" s="695">
        <f>F769</f>
        <v>0</v>
      </c>
      <c r="J17" s="692">
        <f>L770</f>
        <v>0</v>
      </c>
      <c r="K17" s="693">
        <f>L803</f>
        <v>0</v>
      </c>
      <c r="L17" s="699">
        <f>L808</f>
        <v>0</v>
      </c>
      <c r="M17" s="693">
        <f t="shared" si="0"/>
        <v>0</v>
      </c>
      <c r="N17" s="658">
        <f>Inputs!$D$116*(M17/$M$128)</f>
        <v>0</v>
      </c>
      <c r="O17" s="702">
        <f t="shared" si="1"/>
        <v>0</v>
      </c>
    </row>
    <row r="18" spans="1:15">
      <c r="A18" s="10">
        <f t="shared" si="2"/>
        <v>11</v>
      </c>
      <c r="B18" s="643">
        <f>F835</f>
        <v>0</v>
      </c>
      <c r="C18" s="644">
        <v>13</v>
      </c>
      <c r="D18" s="1142">
        <f>E833</f>
        <v>0</v>
      </c>
      <c r="E18" s="1143"/>
      <c r="F18" s="1143"/>
      <c r="G18" s="1143"/>
      <c r="H18" s="1144"/>
      <c r="I18" s="695">
        <f>F838</f>
        <v>0</v>
      </c>
      <c r="J18" s="692">
        <f>L839</f>
        <v>0</v>
      </c>
      <c r="K18" s="693">
        <f>L872</f>
        <v>0</v>
      </c>
      <c r="L18" s="699">
        <f>L877</f>
        <v>0</v>
      </c>
      <c r="M18" s="693">
        <f t="shared" si="0"/>
        <v>0</v>
      </c>
      <c r="N18" s="658">
        <f>Inputs!$D$116*(M18/$M$128)</f>
        <v>0</v>
      </c>
      <c r="O18" s="702">
        <f t="shared" si="1"/>
        <v>0</v>
      </c>
    </row>
    <row r="19" spans="1:15">
      <c r="A19" s="10">
        <f t="shared" si="2"/>
        <v>12</v>
      </c>
      <c r="B19" s="643">
        <f>F904</f>
        <v>0</v>
      </c>
      <c r="C19" s="644">
        <v>14</v>
      </c>
      <c r="D19" s="1142">
        <f>E902</f>
        <v>0</v>
      </c>
      <c r="E19" s="1143"/>
      <c r="F19" s="1143"/>
      <c r="G19" s="1143"/>
      <c r="H19" s="1144"/>
      <c r="I19" s="695">
        <f>F907</f>
        <v>0</v>
      </c>
      <c r="J19" s="692">
        <f>L908</f>
        <v>0</v>
      </c>
      <c r="K19" s="693">
        <f>L941</f>
        <v>0</v>
      </c>
      <c r="L19" s="699">
        <f>L946</f>
        <v>0</v>
      </c>
      <c r="M19" s="693">
        <f t="shared" si="0"/>
        <v>0</v>
      </c>
      <c r="N19" s="658">
        <f>Inputs!$D$116*(M19/$M$128)</f>
        <v>0</v>
      </c>
      <c r="O19" s="702">
        <f t="shared" si="1"/>
        <v>0</v>
      </c>
    </row>
    <row r="20" spans="1:15">
      <c r="A20" s="10">
        <f t="shared" si="2"/>
        <v>13</v>
      </c>
      <c r="B20" s="643"/>
      <c r="C20" s="644"/>
      <c r="D20" s="1142"/>
      <c r="E20" s="1143"/>
      <c r="F20" s="1143"/>
      <c r="G20" s="1143"/>
      <c r="H20" s="1144"/>
      <c r="I20" s="645"/>
      <c r="J20" s="646"/>
      <c r="K20" s="646"/>
      <c r="L20" s="700"/>
      <c r="M20" s="659"/>
      <c r="N20" s="658"/>
      <c r="O20" s="702"/>
    </row>
    <row r="21" spans="1:15">
      <c r="A21" s="10">
        <f t="shared" si="2"/>
        <v>14</v>
      </c>
      <c r="B21" s="643"/>
      <c r="C21" s="644"/>
      <c r="D21" s="1142"/>
      <c r="E21" s="1143"/>
      <c r="F21" s="1143"/>
      <c r="G21" s="1143"/>
      <c r="H21" s="1144"/>
      <c r="I21" s="647"/>
      <c r="J21" s="646"/>
      <c r="K21" s="646"/>
      <c r="L21" s="700"/>
      <c r="M21" s="659"/>
      <c r="N21" s="658"/>
      <c r="O21" s="702"/>
    </row>
    <row r="22" spans="1:15">
      <c r="A22" s="10">
        <f t="shared" si="2"/>
        <v>15</v>
      </c>
      <c r="B22" s="643"/>
      <c r="C22" s="644"/>
      <c r="D22" s="1142"/>
      <c r="E22" s="1143"/>
      <c r="F22" s="1143"/>
      <c r="G22" s="1143"/>
      <c r="H22" s="1144"/>
      <c r="I22" s="647"/>
      <c r="J22" s="646"/>
      <c r="K22" s="646"/>
      <c r="L22" s="700"/>
      <c r="M22" s="659"/>
      <c r="N22" s="658"/>
      <c r="O22" s="702"/>
    </row>
    <row r="23" spans="1:15">
      <c r="A23" s="10">
        <f t="shared" si="2"/>
        <v>16</v>
      </c>
      <c r="B23" s="643"/>
      <c r="C23" s="644"/>
      <c r="D23" s="1142"/>
      <c r="E23" s="1143"/>
      <c r="F23" s="1143"/>
      <c r="G23" s="1143"/>
      <c r="H23" s="1144"/>
      <c r="I23" s="647"/>
      <c r="J23" s="646"/>
      <c r="K23" s="646"/>
      <c r="L23" s="700"/>
      <c r="M23" s="659"/>
      <c r="N23" s="658"/>
      <c r="O23" s="702"/>
    </row>
    <row r="24" spans="1:15">
      <c r="A24" s="10">
        <f t="shared" si="2"/>
        <v>17</v>
      </c>
      <c r="B24" s="643"/>
      <c r="C24" s="644"/>
      <c r="D24" s="1142"/>
      <c r="E24" s="1143"/>
      <c r="F24" s="1143"/>
      <c r="G24" s="1143"/>
      <c r="H24" s="1144"/>
      <c r="I24" s="647"/>
      <c r="J24" s="646"/>
      <c r="K24" s="646"/>
      <c r="L24" s="700"/>
      <c r="M24" s="659"/>
      <c r="N24" s="658"/>
      <c r="O24" s="702"/>
    </row>
    <row r="25" spans="1:15">
      <c r="A25" s="10">
        <f t="shared" si="2"/>
        <v>18</v>
      </c>
      <c r="B25" s="643"/>
      <c r="C25" s="644"/>
      <c r="D25" s="1142"/>
      <c r="E25" s="1143"/>
      <c r="F25" s="1143"/>
      <c r="G25" s="1143"/>
      <c r="H25" s="1144"/>
      <c r="I25" s="647"/>
      <c r="J25" s="646"/>
      <c r="K25" s="646"/>
      <c r="L25" s="700"/>
      <c r="M25" s="659"/>
      <c r="N25" s="658"/>
      <c r="O25" s="702"/>
    </row>
    <row r="26" spans="1:15">
      <c r="A26" s="10">
        <f t="shared" si="2"/>
        <v>19</v>
      </c>
      <c r="B26" s="643"/>
      <c r="C26" s="644"/>
      <c r="D26" s="1142"/>
      <c r="E26" s="1143"/>
      <c r="F26" s="1143"/>
      <c r="G26" s="1143"/>
      <c r="H26" s="1144"/>
      <c r="I26" s="647"/>
      <c r="J26" s="646"/>
      <c r="K26" s="646"/>
      <c r="L26" s="700"/>
      <c r="M26" s="659"/>
      <c r="N26" s="658"/>
      <c r="O26" s="702"/>
    </row>
    <row r="27" spans="1:15">
      <c r="A27" s="10">
        <f t="shared" si="2"/>
        <v>20</v>
      </c>
      <c r="B27" s="643"/>
      <c r="C27" s="644"/>
      <c r="D27" s="1142"/>
      <c r="E27" s="1143"/>
      <c r="F27" s="1143"/>
      <c r="G27" s="1143"/>
      <c r="H27" s="1144"/>
      <c r="I27" s="647"/>
      <c r="J27" s="646"/>
      <c r="K27" s="646"/>
      <c r="L27" s="700"/>
      <c r="M27" s="659"/>
      <c r="N27" s="658"/>
      <c r="O27" s="702"/>
    </row>
    <row r="28" spans="1:15">
      <c r="A28" s="10">
        <f t="shared" si="2"/>
        <v>21</v>
      </c>
      <c r="B28" s="643"/>
      <c r="C28" s="644"/>
      <c r="D28" s="1142"/>
      <c r="E28" s="1143"/>
      <c r="F28" s="1143"/>
      <c r="G28" s="1143"/>
      <c r="H28" s="1144"/>
      <c r="I28" s="648"/>
      <c r="J28" s="646"/>
      <c r="K28" s="646"/>
      <c r="L28" s="700"/>
      <c r="M28" s="659"/>
      <c r="N28" s="658"/>
      <c r="O28" s="702"/>
    </row>
    <row r="29" spans="1:15">
      <c r="A29" s="10">
        <f t="shared" si="2"/>
        <v>22</v>
      </c>
      <c r="B29" s="643"/>
      <c r="C29" s="644"/>
      <c r="D29" s="1142"/>
      <c r="E29" s="1143"/>
      <c r="F29" s="1143"/>
      <c r="G29" s="1143"/>
      <c r="H29" s="1144"/>
      <c r="I29" s="648"/>
      <c r="J29" s="646"/>
      <c r="K29" s="646"/>
      <c r="L29" s="700"/>
      <c r="M29" s="659"/>
      <c r="N29" s="658"/>
      <c r="O29" s="702"/>
    </row>
    <row r="30" spans="1:15">
      <c r="A30" s="10">
        <f t="shared" si="2"/>
        <v>23</v>
      </c>
      <c r="B30" s="643"/>
      <c r="C30" s="644"/>
      <c r="D30" s="1142"/>
      <c r="E30" s="1143"/>
      <c r="F30" s="1143"/>
      <c r="G30" s="1143"/>
      <c r="H30" s="1144"/>
      <c r="I30" s="648"/>
      <c r="J30" s="646"/>
      <c r="K30" s="646"/>
      <c r="L30" s="700"/>
      <c r="M30" s="659"/>
      <c r="N30" s="658"/>
      <c r="O30" s="702"/>
    </row>
    <row r="31" spans="1:15">
      <c r="A31" s="10">
        <f t="shared" si="2"/>
        <v>24</v>
      </c>
      <c r="B31" s="643"/>
      <c r="C31" s="644"/>
      <c r="D31" s="1142"/>
      <c r="E31" s="1143"/>
      <c r="F31" s="1143"/>
      <c r="G31" s="1143"/>
      <c r="H31" s="1144"/>
      <c r="I31" s="648"/>
      <c r="J31" s="646"/>
      <c r="K31" s="646"/>
      <c r="L31" s="700"/>
      <c r="M31" s="659"/>
      <c r="N31" s="658"/>
      <c r="O31" s="702"/>
    </row>
    <row r="32" spans="1:15">
      <c r="A32" s="10">
        <f t="shared" si="2"/>
        <v>25</v>
      </c>
      <c r="B32" s="643"/>
      <c r="C32" s="644"/>
      <c r="D32" s="1142"/>
      <c r="E32" s="1143"/>
      <c r="F32" s="1143"/>
      <c r="G32" s="1143"/>
      <c r="H32" s="1144"/>
      <c r="I32" s="648"/>
      <c r="J32" s="646"/>
      <c r="K32" s="646"/>
      <c r="L32" s="700"/>
      <c r="M32" s="659"/>
      <c r="N32" s="658"/>
      <c r="O32" s="702"/>
    </row>
    <row r="33" spans="1:15">
      <c r="A33" s="10">
        <f t="shared" si="2"/>
        <v>26</v>
      </c>
      <c r="B33" s="643"/>
      <c r="C33" s="644"/>
      <c r="D33" s="1142"/>
      <c r="E33" s="1143"/>
      <c r="F33" s="1143"/>
      <c r="G33" s="1143"/>
      <c r="H33" s="1144"/>
      <c r="I33" s="648"/>
      <c r="J33" s="646"/>
      <c r="K33" s="646"/>
      <c r="L33" s="700"/>
      <c r="M33" s="659"/>
      <c r="N33" s="658"/>
      <c r="O33" s="702"/>
    </row>
    <row r="34" spans="1:15">
      <c r="A34" s="10">
        <f t="shared" si="2"/>
        <v>27</v>
      </c>
      <c r="B34" s="643"/>
      <c r="C34" s="644"/>
      <c r="D34" s="1142"/>
      <c r="E34" s="1143"/>
      <c r="F34" s="1143"/>
      <c r="G34" s="1143"/>
      <c r="H34" s="1144"/>
      <c r="I34" s="648"/>
      <c r="J34" s="646"/>
      <c r="K34" s="646"/>
      <c r="L34" s="700"/>
      <c r="M34" s="659"/>
      <c r="N34" s="658"/>
      <c r="O34" s="702"/>
    </row>
    <row r="35" spans="1:15">
      <c r="A35" s="10">
        <f t="shared" si="2"/>
        <v>28</v>
      </c>
      <c r="B35" s="643"/>
      <c r="C35" s="644"/>
      <c r="D35" s="1142"/>
      <c r="E35" s="1143"/>
      <c r="F35" s="1143"/>
      <c r="G35" s="1143"/>
      <c r="H35" s="1144"/>
      <c r="I35" s="648"/>
      <c r="J35" s="646"/>
      <c r="K35" s="646"/>
      <c r="L35" s="700"/>
      <c r="M35" s="659"/>
      <c r="N35" s="658"/>
      <c r="O35" s="702"/>
    </row>
    <row r="36" spans="1:15">
      <c r="A36" s="10">
        <f t="shared" si="2"/>
        <v>29</v>
      </c>
      <c r="B36" s="643"/>
      <c r="C36" s="644"/>
      <c r="D36" s="1142"/>
      <c r="E36" s="1143"/>
      <c r="F36" s="1143"/>
      <c r="G36" s="1143"/>
      <c r="H36" s="1144"/>
      <c r="I36" s="648"/>
      <c r="J36" s="646"/>
      <c r="K36" s="646"/>
      <c r="L36" s="700"/>
      <c r="M36" s="659"/>
      <c r="N36" s="658"/>
      <c r="O36" s="702"/>
    </row>
    <row r="37" spans="1:15">
      <c r="A37" s="10">
        <f t="shared" si="2"/>
        <v>30</v>
      </c>
      <c r="B37" s="643"/>
      <c r="C37" s="644"/>
      <c r="D37" s="1142"/>
      <c r="E37" s="1143"/>
      <c r="F37" s="1143"/>
      <c r="G37" s="1143"/>
      <c r="H37" s="1144"/>
      <c r="I37" s="648"/>
      <c r="J37" s="646"/>
      <c r="K37" s="646"/>
      <c r="L37" s="700"/>
      <c r="M37" s="659"/>
      <c r="N37" s="658"/>
      <c r="O37" s="702"/>
    </row>
    <row r="38" spans="1:15">
      <c r="A38" s="10">
        <f t="shared" si="2"/>
        <v>31</v>
      </c>
      <c r="B38" s="643"/>
      <c r="C38" s="644"/>
      <c r="D38" s="1142"/>
      <c r="E38" s="1143"/>
      <c r="F38" s="1143"/>
      <c r="G38" s="1143"/>
      <c r="H38" s="1144"/>
      <c r="I38" s="648"/>
      <c r="J38" s="646"/>
      <c r="K38" s="646"/>
      <c r="L38" s="700"/>
      <c r="M38" s="659"/>
      <c r="N38" s="658"/>
      <c r="O38" s="702"/>
    </row>
    <row r="39" spans="1:15">
      <c r="A39" s="10">
        <f t="shared" si="2"/>
        <v>32</v>
      </c>
      <c r="B39" s="643"/>
      <c r="C39" s="644"/>
      <c r="D39" s="1142"/>
      <c r="E39" s="1143"/>
      <c r="F39" s="1143"/>
      <c r="G39" s="1143"/>
      <c r="H39" s="1144"/>
      <c r="I39" s="648"/>
      <c r="J39" s="646"/>
      <c r="K39" s="646"/>
      <c r="L39" s="700"/>
      <c r="M39" s="659"/>
      <c r="N39" s="658"/>
      <c r="O39" s="702"/>
    </row>
    <row r="40" spans="1:15">
      <c r="A40" s="10">
        <f t="shared" si="2"/>
        <v>33</v>
      </c>
      <c r="B40" s="643"/>
      <c r="C40" s="644"/>
      <c r="D40" s="1142"/>
      <c r="E40" s="1143"/>
      <c r="F40" s="1143"/>
      <c r="G40" s="1143"/>
      <c r="H40" s="1144"/>
      <c r="I40" s="648"/>
      <c r="J40" s="646"/>
      <c r="K40" s="646"/>
      <c r="L40" s="700"/>
      <c r="M40" s="659"/>
      <c r="N40" s="658"/>
      <c r="O40" s="702"/>
    </row>
    <row r="41" spans="1:15">
      <c r="A41" s="10">
        <f t="shared" si="2"/>
        <v>34</v>
      </c>
      <c r="B41" s="643"/>
      <c r="C41" s="644"/>
      <c r="D41" s="1142"/>
      <c r="E41" s="1143"/>
      <c r="F41" s="1143"/>
      <c r="G41" s="1143"/>
      <c r="H41" s="1144"/>
      <c r="I41" s="648"/>
      <c r="J41" s="646"/>
      <c r="K41" s="646"/>
      <c r="L41" s="700"/>
      <c r="M41" s="659"/>
      <c r="N41" s="658"/>
      <c r="O41" s="702"/>
    </row>
    <row r="42" spans="1:15">
      <c r="A42" s="10">
        <f t="shared" si="2"/>
        <v>35</v>
      </c>
      <c r="B42" s="643"/>
      <c r="C42" s="644"/>
      <c r="D42" s="1142"/>
      <c r="E42" s="1143"/>
      <c r="F42" s="1143"/>
      <c r="G42" s="1143"/>
      <c r="H42" s="1144"/>
      <c r="I42" s="648"/>
      <c r="J42" s="646"/>
      <c r="K42" s="646"/>
      <c r="L42" s="700"/>
      <c r="M42" s="659"/>
      <c r="N42" s="658"/>
      <c r="O42" s="702"/>
    </row>
    <row r="43" spans="1:15">
      <c r="A43" s="10">
        <f t="shared" si="2"/>
        <v>36</v>
      </c>
      <c r="B43" s="643"/>
      <c r="C43" s="644"/>
      <c r="D43" s="1142"/>
      <c r="E43" s="1143"/>
      <c r="F43" s="1143"/>
      <c r="G43" s="1143"/>
      <c r="H43" s="1144"/>
      <c r="I43" s="648"/>
      <c r="J43" s="646"/>
      <c r="K43" s="646"/>
      <c r="L43" s="700"/>
      <c r="M43" s="659"/>
      <c r="N43" s="658"/>
      <c r="O43" s="702"/>
    </row>
    <row r="44" spans="1:15" ht="13.5" customHeight="1">
      <c r="A44" s="10">
        <f t="shared" si="2"/>
        <v>37</v>
      </c>
      <c r="B44" s="643"/>
      <c r="C44" s="644"/>
      <c r="D44" s="1142"/>
      <c r="E44" s="1143"/>
      <c r="F44" s="1143"/>
      <c r="G44" s="1143"/>
      <c r="H44" s="1144"/>
      <c r="I44" s="648"/>
      <c r="J44" s="646"/>
      <c r="K44" s="646"/>
      <c r="L44" s="700"/>
      <c r="M44" s="659"/>
      <c r="N44" s="658"/>
      <c r="O44" s="702"/>
    </row>
    <row r="45" spans="1:15" ht="12.75" customHeight="1">
      <c r="A45" s="10">
        <f t="shared" si="2"/>
        <v>38</v>
      </c>
      <c r="B45" s="643"/>
      <c r="C45" s="644"/>
      <c r="D45" s="1142"/>
      <c r="E45" s="1143"/>
      <c r="F45" s="1143"/>
      <c r="G45" s="1143"/>
      <c r="H45" s="1144"/>
      <c r="I45" s="648"/>
      <c r="J45" s="646"/>
      <c r="K45" s="646"/>
      <c r="L45" s="700"/>
      <c r="M45" s="659"/>
      <c r="N45" s="658"/>
      <c r="O45" s="702"/>
    </row>
    <row r="46" spans="1:15">
      <c r="A46" s="10">
        <f t="shared" si="2"/>
        <v>39</v>
      </c>
      <c r="B46" s="643"/>
      <c r="C46" s="644"/>
      <c r="D46" s="1142"/>
      <c r="E46" s="1143"/>
      <c r="F46" s="1143"/>
      <c r="G46" s="1143"/>
      <c r="H46" s="1144"/>
      <c r="I46" s="648"/>
      <c r="J46" s="646"/>
      <c r="K46" s="646"/>
      <c r="L46" s="700"/>
      <c r="M46" s="659"/>
      <c r="N46" s="658"/>
      <c r="O46" s="702"/>
    </row>
    <row r="47" spans="1:15">
      <c r="A47" s="10">
        <f t="shared" si="2"/>
        <v>40</v>
      </c>
      <c r="B47" s="643"/>
      <c r="C47" s="644"/>
      <c r="D47" s="1142"/>
      <c r="E47" s="1143"/>
      <c r="F47" s="1143"/>
      <c r="G47" s="1143"/>
      <c r="H47" s="1144"/>
      <c r="I47" s="648"/>
      <c r="J47" s="646"/>
      <c r="K47" s="646"/>
      <c r="L47" s="700"/>
      <c r="M47" s="659"/>
      <c r="N47" s="658"/>
      <c r="O47" s="702"/>
    </row>
    <row r="48" spans="1:15">
      <c r="A48" s="10">
        <f t="shared" si="2"/>
        <v>41</v>
      </c>
      <c r="B48" s="643"/>
      <c r="C48" s="644"/>
      <c r="D48" s="1142"/>
      <c r="E48" s="1143"/>
      <c r="F48" s="1143"/>
      <c r="G48" s="1143"/>
      <c r="H48" s="1144"/>
      <c r="I48" s="648"/>
      <c r="J48" s="646"/>
      <c r="K48" s="646"/>
      <c r="L48" s="700"/>
      <c r="M48" s="659"/>
      <c r="N48" s="658"/>
      <c r="O48" s="702"/>
    </row>
    <row r="49" spans="1:15">
      <c r="A49" s="10">
        <f t="shared" si="2"/>
        <v>42</v>
      </c>
      <c r="B49" s="643"/>
      <c r="C49" s="644"/>
      <c r="D49" s="1142"/>
      <c r="E49" s="1143"/>
      <c r="F49" s="1143"/>
      <c r="G49" s="1143"/>
      <c r="H49" s="1144"/>
      <c r="I49" s="648"/>
      <c r="J49" s="646"/>
      <c r="K49" s="646"/>
      <c r="L49" s="700"/>
      <c r="M49" s="659"/>
      <c r="N49" s="658"/>
      <c r="O49" s="702"/>
    </row>
    <row r="50" spans="1:15">
      <c r="A50" s="10">
        <f t="shared" si="2"/>
        <v>43</v>
      </c>
      <c r="B50" s="643"/>
      <c r="C50" s="644"/>
      <c r="D50" s="645"/>
      <c r="E50" s="649"/>
      <c r="F50" s="649"/>
      <c r="G50" s="649"/>
      <c r="H50" s="650"/>
      <c r="I50" s="648"/>
      <c r="J50" s="646"/>
      <c r="K50" s="646"/>
      <c r="L50" s="700"/>
      <c r="M50" s="659"/>
      <c r="N50" s="658"/>
      <c r="O50" s="702"/>
    </row>
    <row r="51" spans="1:15">
      <c r="A51" s="10">
        <f t="shared" si="2"/>
        <v>44</v>
      </c>
      <c r="B51" s="643"/>
      <c r="C51" s="644"/>
      <c r="D51" s="1142"/>
      <c r="E51" s="1143"/>
      <c r="F51" s="1143"/>
      <c r="G51" s="1143"/>
      <c r="H51" s="1144"/>
      <c r="I51" s="648"/>
      <c r="J51" s="646"/>
      <c r="K51" s="646"/>
      <c r="L51" s="700"/>
      <c r="M51" s="659"/>
      <c r="N51" s="658"/>
      <c r="O51" s="702"/>
    </row>
    <row r="52" spans="1:15">
      <c r="A52" s="10">
        <f t="shared" si="2"/>
        <v>45</v>
      </c>
      <c r="B52" s="643"/>
      <c r="C52" s="644"/>
      <c r="D52" s="1142"/>
      <c r="E52" s="1143"/>
      <c r="F52" s="1143"/>
      <c r="G52" s="1143"/>
      <c r="H52" s="1144"/>
      <c r="I52" s="648"/>
      <c r="J52" s="646"/>
      <c r="K52" s="646"/>
      <c r="L52" s="700"/>
      <c r="M52" s="659"/>
      <c r="N52" s="658"/>
      <c r="O52" s="702"/>
    </row>
    <row r="53" spans="1:15">
      <c r="A53" s="10">
        <f t="shared" si="2"/>
        <v>46</v>
      </c>
      <c r="B53" s="643"/>
      <c r="C53" s="644"/>
      <c r="D53" s="1142"/>
      <c r="E53" s="1143"/>
      <c r="F53" s="1143"/>
      <c r="G53" s="1143"/>
      <c r="H53" s="1144"/>
      <c r="I53" s="648"/>
      <c r="J53" s="646"/>
      <c r="K53" s="646"/>
      <c r="L53" s="700"/>
      <c r="M53" s="659"/>
      <c r="N53" s="658"/>
      <c r="O53" s="702"/>
    </row>
    <row r="54" spans="1:15" ht="13.5" customHeight="1">
      <c r="A54" s="10">
        <f t="shared" si="2"/>
        <v>47</v>
      </c>
      <c r="B54" s="643"/>
      <c r="C54" s="644"/>
      <c r="D54" s="1142"/>
      <c r="E54" s="1143"/>
      <c r="F54" s="1143"/>
      <c r="G54" s="1143"/>
      <c r="H54" s="1144"/>
      <c r="I54" s="648"/>
      <c r="J54" s="646"/>
      <c r="K54" s="646"/>
      <c r="L54" s="700"/>
      <c r="M54" s="659"/>
      <c r="N54" s="658"/>
      <c r="O54" s="702"/>
    </row>
    <row r="55" spans="1:15" ht="12.75" customHeight="1">
      <c r="A55" s="10">
        <f t="shared" si="2"/>
        <v>48</v>
      </c>
      <c r="B55" s="643"/>
      <c r="C55" s="644"/>
      <c r="D55" s="1142"/>
      <c r="E55" s="1143"/>
      <c r="F55" s="1143"/>
      <c r="G55" s="1143"/>
      <c r="H55" s="1144"/>
      <c r="I55" s="648"/>
      <c r="J55" s="646"/>
      <c r="K55" s="646"/>
      <c r="L55" s="700"/>
      <c r="M55" s="659"/>
      <c r="N55" s="658"/>
      <c r="O55" s="702"/>
    </row>
    <row r="56" spans="1:15">
      <c r="A56" s="10">
        <f t="shared" si="2"/>
        <v>49</v>
      </c>
      <c r="B56" s="643"/>
      <c r="C56" s="644"/>
      <c r="D56" s="1142"/>
      <c r="E56" s="1143"/>
      <c r="F56" s="1143"/>
      <c r="G56" s="1143"/>
      <c r="H56" s="1144"/>
      <c r="I56" s="648"/>
      <c r="J56" s="646"/>
      <c r="K56" s="646"/>
      <c r="L56" s="700"/>
      <c r="M56" s="659"/>
      <c r="N56" s="658"/>
      <c r="O56" s="702"/>
    </row>
    <row r="57" spans="1:15">
      <c r="A57" s="10">
        <f t="shared" si="2"/>
        <v>50</v>
      </c>
      <c r="B57" s="643"/>
      <c r="C57" s="644"/>
      <c r="D57" s="1142"/>
      <c r="E57" s="1143"/>
      <c r="F57" s="1143"/>
      <c r="G57" s="1143"/>
      <c r="H57" s="1144"/>
      <c r="I57" s="648"/>
      <c r="J57" s="646"/>
      <c r="K57" s="646"/>
      <c r="L57" s="700"/>
      <c r="M57" s="659"/>
      <c r="N57" s="658"/>
      <c r="O57" s="702"/>
    </row>
    <row r="58" spans="1:15">
      <c r="A58" s="10">
        <f t="shared" si="2"/>
        <v>51</v>
      </c>
      <c r="B58" s="643"/>
      <c r="C58" s="644"/>
      <c r="D58" s="645"/>
      <c r="E58" s="649"/>
      <c r="F58" s="649"/>
      <c r="G58" s="649"/>
      <c r="H58" s="650"/>
      <c r="I58" s="648"/>
      <c r="J58" s="646"/>
      <c r="K58" s="646"/>
      <c r="L58" s="700"/>
      <c r="M58" s="659"/>
      <c r="N58" s="658"/>
      <c r="O58" s="702"/>
    </row>
    <row r="59" spans="1:15">
      <c r="A59" s="10">
        <f t="shared" si="2"/>
        <v>52</v>
      </c>
      <c r="B59" s="643"/>
      <c r="C59" s="644"/>
      <c r="D59" s="645"/>
      <c r="E59" s="649"/>
      <c r="F59" s="649"/>
      <c r="G59" s="649"/>
      <c r="H59" s="650"/>
      <c r="I59" s="648"/>
      <c r="J59" s="646"/>
      <c r="K59" s="646"/>
      <c r="L59" s="700"/>
      <c r="M59" s="659"/>
      <c r="N59" s="658"/>
      <c r="O59" s="702"/>
    </row>
    <row r="60" spans="1:15">
      <c r="A60" s="10">
        <f t="shared" si="2"/>
        <v>53</v>
      </c>
      <c r="B60" s="643"/>
      <c r="C60" s="651"/>
      <c r="D60" s="645"/>
      <c r="E60" s="649"/>
      <c r="F60" s="649"/>
      <c r="G60" s="649"/>
      <c r="H60" s="650"/>
      <c r="I60" s="648"/>
      <c r="J60" s="646"/>
      <c r="K60" s="646"/>
      <c r="L60" s="700"/>
      <c r="M60" s="725"/>
      <c r="N60" s="660"/>
      <c r="O60" s="702"/>
    </row>
    <row r="61" spans="1:15" ht="16.2" thickBot="1">
      <c r="A61" s="10">
        <f t="shared" si="2"/>
        <v>54</v>
      </c>
      <c r="B61" s="624" t="s">
        <v>916</v>
      </c>
      <c r="C61" s="625"/>
      <c r="D61" s="626"/>
      <c r="E61" s="626"/>
      <c r="F61" s="626"/>
      <c r="G61" s="626"/>
      <c r="H61" s="627"/>
      <c r="I61" s="626"/>
      <c r="J61" s="688">
        <f t="shared" ref="J61:O61" si="3">SUM(J8:J60)</f>
        <v>1420265.37375</v>
      </c>
      <c r="K61" s="688">
        <f t="shared" si="3"/>
        <v>195107.51263239485</v>
      </c>
      <c r="L61" s="688">
        <f t="shared" si="3"/>
        <v>0</v>
      </c>
      <c r="M61" s="688">
        <f t="shared" si="3"/>
        <v>195107.51263239485</v>
      </c>
      <c r="N61" s="688">
        <f t="shared" si="3"/>
        <v>13243</v>
      </c>
      <c r="O61" s="689">
        <f t="shared" si="3"/>
        <v>181864.51263239485</v>
      </c>
    </row>
    <row r="67" spans="1:15">
      <c r="G67" s="10"/>
      <c r="J67" s="10" t="s">
        <v>917</v>
      </c>
    </row>
    <row r="68" spans="1:15">
      <c r="G68" s="10"/>
      <c r="J68" s="647" t="s">
        <v>918</v>
      </c>
    </row>
    <row r="69" spans="1:15" ht="15.6">
      <c r="B69" s="975" t="s">
        <v>983</v>
      </c>
      <c r="C69" s="975"/>
      <c r="D69" s="975"/>
      <c r="E69" s="975"/>
      <c r="F69" s="975"/>
      <c r="G69" s="975"/>
      <c r="H69" s="975"/>
      <c r="I69" s="975"/>
      <c r="J69" s="975"/>
      <c r="K69" s="975"/>
      <c r="L69" s="975"/>
      <c r="M69" s="975"/>
      <c r="N69" s="975"/>
      <c r="O69" s="975"/>
    </row>
    <row r="70" spans="1:15">
      <c r="B70" s="976" t="str">
        <f>$B$2</f>
        <v>(For Rate Year Beginning April 1, 2026, Based on December 31, 2025 Data)</v>
      </c>
      <c r="C70" s="976"/>
      <c r="D70" s="976"/>
      <c r="E70" s="976"/>
      <c r="F70" s="976"/>
      <c r="G70" s="976"/>
      <c r="H70" s="976"/>
      <c r="I70" s="976"/>
      <c r="J70" s="976"/>
      <c r="K70" s="976"/>
      <c r="L70" s="976"/>
      <c r="M70" s="976"/>
      <c r="N70" s="976"/>
      <c r="O70" s="976"/>
    </row>
    <row r="72" spans="1:15" ht="15.6">
      <c r="B72" s="1" t="s">
        <v>984</v>
      </c>
    </row>
    <row r="73" spans="1:15" ht="15.6" thickBot="1">
      <c r="A73" s="623" t="s">
        <v>909</v>
      </c>
    </row>
    <row r="74" spans="1:15" ht="13.5" customHeight="1" thickBot="1">
      <c r="B74" s="1137" t="s">
        <v>919</v>
      </c>
      <c r="C74" s="1138"/>
      <c r="D74" s="1138"/>
      <c r="E74" s="1138"/>
      <c r="F74" s="1138"/>
      <c r="G74" s="1138"/>
      <c r="H74" s="1138"/>
      <c r="I74" s="1138"/>
      <c r="J74" s="1138"/>
      <c r="K74" s="1138"/>
      <c r="L74" s="1138"/>
      <c r="M74" s="1138"/>
      <c r="N74" s="1138"/>
      <c r="O74" s="1139"/>
    </row>
    <row r="75" spans="1:15" ht="39" customHeight="1">
      <c r="B75" s="1170" t="s">
        <v>910</v>
      </c>
      <c r="C75" s="1172" t="s">
        <v>911</v>
      </c>
      <c r="D75" s="1173" t="s">
        <v>912</v>
      </c>
      <c r="E75" s="1174"/>
      <c r="F75" s="1174"/>
      <c r="G75" s="1174"/>
      <c r="H75" s="1175"/>
      <c r="I75" s="1135" t="s">
        <v>913</v>
      </c>
      <c r="J75" s="1170" t="s">
        <v>966</v>
      </c>
      <c r="K75" s="1178" t="s">
        <v>914</v>
      </c>
      <c r="L75" s="1135" t="s">
        <v>915</v>
      </c>
      <c r="M75" s="1135" t="s">
        <v>977</v>
      </c>
      <c r="N75" s="1140" t="s">
        <v>978</v>
      </c>
      <c r="O75" s="1140" t="s">
        <v>979</v>
      </c>
    </row>
    <row r="76" spans="1:15" ht="39" customHeight="1" thickBot="1">
      <c r="B76" s="1171"/>
      <c r="C76" s="1141"/>
      <c r="D76" s="1145"/>
      <c r="E76" s="1146"/>
      <c r="F76" s="1146"/>
      <c r="G76" s="1146"/>
      <c r="H76" s="1176"/>
      <c r="I76" s="1177"/>
      <c r="J76" s="1171"/>
      <c r="K76" s="1179"/>
      <c r="L76" s="1136"/>
      <c r="M76" s="1136"/>
      <c r="N76" s="1141"/>
      <c r="O76" s="1141"/>
    </row>
    <row r="77" spans="1:15">
      <c r="A77" s="10">
        <f t="shared" ref="A77:A86" si="4">A76+1</f>
        <v>1</v>
      </c>
      <c r="B77" s="653"/>
      <c r="C77" s="654"/>
      <c r="D77" s="1167"/>
      <c r="E77" s="1168"/>
      <c r="F77" s="1168"/>
      <c r="G77" s="1168"/>
      <c r="H77" s="1169"/>
      <c r="I77" s="655"/>
      <c r="J77" s="656"/>
      <c r="K77" s="656"/>
      <c r="L77" s="706"/>
      <c r="M77" s="656"/>
      <c r="N77" s="707"/>
      <c r="O77" s="708"/>
    </row>
    <row r="78" spans="1:15">
      <c r="A78" s="10">
        <f t="shared" si="4"/>
        <v>2</v>
      </c>
      <c r="B78" s="657"/>
      <c r="C78" s="658"/>
      <c r="D78" s="1142"/>
      <c r="E78" s="1143"/>
      <c r="F78" s="1143"/>
      <c r="G78" s="1143"/>
      <c r="H78" s="1144"/>
      <c r="I78" s="648"/>
      <c r="J78" s="659"/>
      <c r="K78" s="659"/>
      <c r="L78" s="700"/>
      <c r="M78" s="659"/>
      <c r="N78" s="709"/>
      <c r="O78" s="710"/>
    </row>
    <row r="79" spans="1:15">
      <c r="A79" s="10">
        <f t="shared" si="4"/>
        <v>3</v>
      </c>
      <c r="B79" s="657"/>
      <c r="C79" s="658"/>
      <c r="D79" s="645"/>
      <c r="E79" s="649"/>
      <c r="F79" s="649"/>
      <c r="G79" s="649"/>
      <c r="H79" s="650"/>
      <c r="I79" s="648"/>
      <c r="J79" s="659"/>
      <c r="K79" s="659"/>
      <c r="L79" s="700"/>
      <c r="M79" s="659"/>
      <c r="N79" s="709"/>
      <c r="O79" s="710"/>
    </row>
    <row r="80" spans="1:15">
      <c r="A80" s="10">
        <f t="shared" si="4"/>
        <v>4</v>
      </c>
      <c r="B80" s="657"/>
      <c r="C80" s="658"/>
      <c r="D80" s="645"/>
      <c r="E80" s="649"/>
      <c r="F80" s="649"/>
      <c r="G80" s="649"/>
      <c r="H80" s="650"/>
      <c r="I80" s="648"/>
      <c r="J80" s="659"/>
      <c r="K80" s="659"/>
      <c r="L80" s="700"/>
      <c r="M80" s="659"/>
      <c r="N80" s="709"/>
      <c r="O80" s="710"/>
    </row>
    <row r="81" spans="1:15">
      <c r="A81" s="10">
        <f t="shared" si="4"/>
        <v>5</v>
      </c>
      <c r="B81" s="657"/>
      <c r="C81" s="658"/>
      <c r="D81" s="645"/>
      <c r="E81" s="649"/>
      <c r="F81" s="649"/>
      <c r="G81" s="649"/>
      <c r="H81" s="650"/>
      <c r="I81" s="648"/>
      <c r="J81" s="659"/>
      <c r="K81" s="659"/>
      <c r="L81" s="700"/>
      <c r="M81" s="659"/>
      <c r="N81" s="709"/>
      <c r="O81" s="710"/>
    </row>
    <row r="82" spans="1:15">
      <c r="A82" s="10">
        <f t="shared" si="4"/>
        <v>6</v>
      </c>
      <c r="B82" s="657"/>
      <c r="C82" s="658"/>
      <c r="D82" s="1142"/>
      <c r="E82" s="1143"/>
      <c r="F82" s="1143"/>
      <c r="G82" s="1143"/>
      <c r="H82" s="1144"/>
      <c r="I82" s="648"/>
      <c r="J82" s="659"/>
      <c r="K82" s="659"/>
      <c r="L82" s="700"/>
      <c r="M82" s="659"/>
      <c r="N82" s="709"/>
      <c r="O82" s="710"/>
    </row>
    <row r="83" spans="1:15">
      <c r="A83" s="10">
        <f t="shared" si="4"/>
        <v>7</v>
      </c>
      <c r="B83" s="657"/>
      <c r="C83" s="658"/>
      <c r="D83" s="1142"/>
      <c r="E83" s="1143"/>
      <c r="F83" s="1143"/>
      <c r="G83" s="1143"/>
      <c r="H83" s="1144"/>
      <c r="I83" s="648"/>
      <c r="J83" s="659"/>
      <c r="K83" s="659"/>
      <c r="L83" s="700"/>
      <c r="M83" s="659"/>
      <c r="N83" s="709"/>
      <c r="O83" s="710"/>
    </row>
    <row r="84" spans="1:15">
      <c r="A84" s="10">
        <f t="shared" si="4"/>
        <v>8</v>
      </c>
      <c r="B84" s="657"/>
      <c r="C84" s="658"/>
      <c r="D84" s="1142"/>
      <c r="E84" s="1143"/>
      <c r="F84" s="1143"/>
      <c r="G84" s="1143"/>
      <c r="H84" s="1144"/>
      <c r="I84" s="648"/>
      <c r="J84" s="659"/>
      <c r="K84" s="659"/>
      <c r="L84" s="700"/>
      <c r="M84" s="659"/>
      <c r="N84" s="709"/>
      <c r="O84" s="710"/>
    </row>
    <row r="85" spans="1:15">
      <c r="A85" s="10">
        <f t="shared" si="4"/>
        <v>9</v>
      </c>
      <c r="B85" s="657"/>
      <c r="C85" s="660"/>
      <c r="D85" s="645"/>
      <c r="E85" s="649"/>
      <c r="F85" s="649"/>
      <c r="G85" s="649"/>
      <c r="H85" s="650"/>
      <c r="I85" s="648"/>
      <c r="J85" s="659"/>
      <c r="K85" s="659"/>
      <c r="L85" s="700"/>
      <c r="M85" s="725"/>
      <c r="N85" s="711"/>
      <c r="O85" s="712"/>
    </row>
    <row r="86" spans="1:15" ht="16.2" thickBot="1">
      <c r="A86" s="10">
        <f t="shared" si="4"/>
        <v>10</v>
      </c>
      <c r="B86" s="1186" t="s">
        <v>920</v>
      </c>
      <c r="C86" s="1187"/>
      <c r="D86" s="1187"/>
      <c r="E86" s="1187"/>
      <c r="F86" s="1187"/>
      <c r="G86" s="1187"/>
      <c r="H86" s="1188"/>
      <c r="I86" s="626" t="s">
        <v>441</v>
      </c>
      <c r="J86" s="688">
        <f>SUM(J77:J85)</f>
        <v>0</v>
      </c>
      <c r="K86" s="688">
        <f>SUM(K77:K85)</f>
        <v>0</v>
      </c>
      <c r="L86" s="713">
        <f>SUM(L77:L85)</f>
        <v>0</v>
      </c>
      <c r="M86" s="713">
        <f>SUM(M77:M85)</f>
        <v>0</v>
      </c>
      <c r="N86" s="689">
        <f t="shared" ref="N86:O86" si="5">SUM(N77:N85)</f>
        <v>0</v>
      </c>
      <c r="O86" s="689">
        <f t="shared" si="5"/>
        <v>0</v>
      </c>
    </row>
    <row r="87" spans="1:15" ht="13.5" customHeight="1"/>
    <row r="88" spans="1:15" ht="12.75" customHeight="1" thickBot="1"/>
    <row r="89" spans="1:15" ht="13.5" customHeight="1" thickBot="1">
      <c r="B89" s="1137" t="s">
        <v>921</v>
      </c>
      <c r="C89" s="1138"/>
      <c r="D89" s="1138"/>
      <c r="E89" s="1138"/>
      <c r="F89" s="1138"/>
      <c r="G89" s="1138"/>
      <c r="H89" s="1138"/>
      <c r="I89" s="1138"/>
      <c r="J89" s="1138"/>
      <c r="K89" s="1138"/>
      <c r="L89" s="1138"/>
      <c r="M89" s="1138"/>
      <c r="N89" s="1138"/>
      <c r="O89" s="1139"/>
    </row>
    <row r="90" spans="1:15" ht="41.25" customHeight="1">
      <c r="B90" s="1180" t="s">
        <v>910</v>
      </c>
      <c r="C90" s="1140" t="s">
        <v>911</v>
      </c>
      <c r="D90" s="1181" t="s">
        <v>912</v>
      </c>
      <c r="E90" s="1182"/>
      <c r="F90" s="1182"/>
      <c r="G90" s="1182"/>
      <c r="H90" s="1183"/>
      <c r="I90" s="1184" t="s">
        <v>913</v>
      </c>
      <c r="J90" s="1180" t="s">
        <v>966</v>
      </c>
      <c r="K90" s="1185" t="s">
        <v>914</v>
      </c>
      <c r="L90" s="1180" t="s">
        <v>915</v>
      </c>
      <c r="M90" s="1135" t="s">
        <v>977</v>
      </c>
      <c r="N90" s="1140" t="s">
        <v>978</v>
      </c>
      <c r="O90" s="1140" t="s">
        <v>979</v>
      </c>
    </row>
    <row r="91" spans="1:15" ht="41.25" customHeight="1" thickBot="1">
      <c r="B91" s="1171"/>
      <c r="C91" s="1141"/>
      <c r="D91" s="1145"/>
      <c r="E91" s="1146"/>
      <c r="F91" s="1146"/>
      <c r="G91" s="1146"/>
      <c r="H91" s="1176"/>
      <c r="I91" s="1177"/>
      <c r="J91" s="1171"/>
      <c r="K91" s="1179"/>
      <c r="L91" s="1171"/>
      <c r="M91" s="1136"/>
      <c r="N91" s="1141"/>
      <c r="O91" s="1141"/>
    </row>
    <row r="92" spans="1:15">
      <c r="A92" s="10">
        <f>A86+1</f>
        <v>11</v>
      </c>
      <c r="B92" s="657"/>
      <c r="C92" s="654"/>
      <c r="D92" s="1167"/>
      <c r="E92" s="1168"/>
      <c r="F92" s="1168"/>
      <c r="G92" s="1168"/>
      <c r="H92" s="1169"/>
      <c r="I92" s="648"/>
      <c r="J92" s="656"/>
      <c r="K92" s="656"/>
      <c r="L92" s="700"/>
      <c r="M92" s="656"/>
      <c r="N92" s="707"/>
      <c r="O92" s="708"/>
    </row>
    <row r="93" spans="1:15">
      <c r="A93" s="10">
        <f t="shared" ref="A93:A101" si="6">A92+1</f>
        <v>12</v>
      </c>
      <c r="B93" s="657"/>
      <c r="C93" s="658"/>
      <c r="D93" s="645"/>
      <c r="E93" s="649"/>
      <c r="F93" s="649"/>
      <c r="G93" s="649"/>
      <c r="H93" s="650"/>
      <c r="I93" s="648"/>
      <c r="J93" s="659"/>
      <c r="K93" s="659"/>
      <c r="L93" s="700"/>
      <c r="M93" s="659"/>
      <c r="N93" s="709"/>
      <c r="O93" s="710"/>
    </row>
    <row r="94" spans="1:15">
      <c r="A94" s="10">
        <f t="shared" si="6"/>
        <v>13</v>
      </c>
      <c r="B94" s="657"/>
      <c r="C94" s="658"/>
      <c r="D94" s="645"/>
      <c r="E94" s="649"/>
      <c r="F94" s="649"/>
      <c r="G94" s="649"/>
      <c r="H94" s="650"/>
      <c r="I94" s="648"/>
      <c r="J94" s="659"/>
      <c r="K94" s="659"/>
      <c r="L94" s="700"/>
      <c r="M94" s="659"/>
      <c r="N94" s="709"/>
      <c r="O94" s="710"/>
    </row>
    <row r="95" spans="1:15">
      <c r="A95" s="10">
        <f t="shared" si="6"/>
        <v>14</v>
      </c>
      <c r="B95" s="657"/>
      <c r="C95" s="658"/>
      <c r="D95" s="645"/>
      <c r="E95" s="649"/>
      <c r="F95" s="649"/>
      <c r="G95" s="649"/>
      <c r="H95" s="650"/>
      <c r="I95" s="648"/>
      <c r="J95" s="659"/>
      <c r="K95" s="659"/>
      <c r="L95" s="700"/>
      <c r="M95" s="659"/>
      <c r="N95" s="709"/>
      <c r="O95" s="710"/>
    </row>
    <row r="96" spans="1:15">
      <c r="A96" s="10">
        <f t="shared" si="6"/>
        <v>15</v>
      </c>
      <c r="B96" s="657"/>
      <c r="C96" s="658"/>
      <c r="D96" s="645"/>
      <c r="E96" s="649"/>
      <c r="F96" s="649"/>
      <c r="G96" s="649"/>
      <c r="H96" s="650"/>
      <c r="I96" s="648"/>
      <c r="J96" s="659"/>
      <c r="K96" s="659"/>
      <c r="L96" s="700"/>
      <c r="M96" s="659"/>
      <c r="N96" s="709"/>
      <c r="O96" s="710"/>
    </row>
    <row r="97" spans="1:15">
      <c r="A97" s="10">
        <f t="shared" si="6"/>
        <v>16</v>
      </c>
      <c r="B97" s="657"/>
      <c r="C97" s="658"/>
      <c r="D97" s="645"/>
      <c r="E97" s="649"/>
      <c r="F97" s="649"/>
      <c r="G97" s="649"/>
      <c r="H97" s="650"/>
      <c r="I97" s="648"/>
      <c r="J97" s="659"/>
      <c r="K97" s="659"/>
      <c r="L97" s="700"/>
      <c r="M97" s="659"/>
      <c r="N97" s="709"/>
      <c r="O97" s="710"/>
    </row>
    <row r="98" spans="1:15">
      <c r="A98" s="10">
        <f t="shared" si="6"/>
        <v>17</v>
      </c>
      <c r="B98" s="657"/>
      <c r="C98" s="658"/>
      <c r="D98" s="1142"/>
      <c r="E98" s="1143"/>
      <c r="F98" s="1143"/>
      <c r="G98" s="1143"/>
      <c r="H98" s="1144"/>
      <c r="I98" s="648"/>
      <c r="J98" s="659"/>
      <c r="K98" s="659"/>
      <c r="L98" s="700"/>
      <c r="M98" s="659"/>
      <c r="N98" s="709"/>
      <c r="O98" s="710"/>
    </row>
    <row r="99" spans="1:15">
      <c r="A99" s="10">
        <f t="shared" si="6"/>
        <v>18</v>
      </c>
      <c r="B99" s="657"/>
      <c r="C99" s="658"/>
      <c r="D99" s="1142"/>
      <c r="E99" s="1143"/>
      <c r="F99" s="1143"/>
      <c r="G99" s="1143"/>
      <c r="H99" s="1144"/>
      <c r="I99" s="648"/>
      <c r="J99" s="659"/>
      <c r="K99" s="659"/>
      <c r="L99" s="700"/>
      <c r="M99" s="659"/>
      <c r="N99" s="709"/>
      <c r="O99" s="710"/>
    </row>
    <row r="100" spans="1:15">
      <c r="A100" s="10">
        <f t="shared" si="6"/>
        <v>19</v>
      </c>
      <c r="B100" s="657"/>
      <c r="C100" s="660"/>
      <c r="D100" s="1142"/>
      <c r="E100" s="1143"/>
      <c r="F100" s="1143"/>
      <c r="G100" s="1143"/>
      <c r="H100" s="1144"/>
      <c r="I100" s="648"/>
      <c r="J100" s="659"/>
      <c r="K100" s="659"/>
      <c r="L100" s="700"/>
      <c r="M100" s="659"/>
      <c r="N100" s="711"/>
      <c r="O100" s="712"/>
    </row>
    <row r="101" spans="1:15" ht="16.2" thickBot="1">
      <c r="A101" s="10">
        <f t="shared" si="6"/>
        <v>20</v>
      </c>
      <c r="B101" s="1186" t="s">
        <v>922</v>
      </c>
      <c r="C101" s="1192"/>
      <c r="D101" s="1187"/>
      <c r="E101" s="1187"/>
      <c r="F101" s="1187"/>
      <c r="G101" s="1187"/>
      <c r="H101" s="1188"/>
      <c r="I101" s="626" t="s">
        <v>441</v>
      </c>
      <c r="J101" s="683">
        <f>SUM(J92:J100)</f>
        <v>0</v>
      </c>
      <c r="K101" s="687">
        <f>SUM(K92:K100)</f>
        <v>0</v>
      </c>
      <c r="L101" s="714">
        <f>SUM(L92:L100)</f>
        <v>0</v>
      </c>
      <c r="M101" s="714">
        <f>SUM(M92:M100)</f>
        <v>0</v>
      </c>
      <c r="N101" s="713">
        <f t="shared" ref="N101" si="7">SUM(N92:N100)</f>
        <v>0</v>
      </c>
      <c r="O101" s="689">
        <f t="shared" ref="O101" si="8">SUM(O92:O100)</f>
        <v>0</v>
      </c>
    </row>
    <row r="102" spans="1:15">
      <c r="A102" s="10"/>
      <c r="D102" s="628"/>
      <c r="E102" s="628"/>
      <c r="F102" s="628"/>
      <c r="G102" s="628"/>
      <c r="H102" s="628"/>
    </row>
    <row r="103" spans="1:15" ht="15.6" thickBot="1">
      <c r="A103" s="10"/>
      <c r="D103" s="628"/>
      <c r="E103" s="628"/>
      <c r="F103" s="628"/>
      <c r="G103" s="628"/>
      <c r="H103" s="628"/>
    </row>
    <row r="104" spans="1:15" ht="13.5" customHeight="1" thickBot="1">
      <c r="A104" s="10"/>
      <c r="B104" s="1137" t="s">
        <v>923</v>
      </c>
      <c r="C104" s="1138"/>
      <c r="D104" s="1138"/>
      <c r="E104" s="1138"/>
      <c r="F104" s="1138"/>
      <c r="G104" s="1138"/>
      <c r="H104" s="1138"/>
      <c r="I104" s="1138"/>
      <c r="J104" s="1138"/>
      <c r="K104" s="1138"/>
      <c r="L104" s="1138"/>
      <c r="M104" s="1138"/>
      <c r="N104" s="1138"/>
      <c r="O104" s="1139"/>
    </row>
    <row r="105" spans="1:15" ht="40.5" customHeight="1">
      <c r="A105" s="10"/>
      <c r="B105" s="1170" t="s">
        <v>910</v>
      </c>
      <c r="C105" s="1172" t="s">
        <v>911</v>
      </c>
      <c r="D105" s="1173" t="s">
        <v>912</v>
      </c>
      <c r="E105" s="1174"/>
      <c r="F105" s="1174"/>
      <c r="G105" s="1174"/>
      <c r="H105" s="1175"/>
      <c r="I105" s="1135" t="s">
        <v>913</v>
      </c>
      <c r="J105" s="1170" t="s">
        <v>966</v>
      </c>
      <c r="K105" s="1178" t="s">
        <v>914</v>
      </c>
      <c r="L105" s="1170" t="s">
        <v>915</v>
      </c>
      <c r="M105" s="1135" t="s">
        <v>977</v>
      </c>
      <c r="N105" s="1140" t="s">
        <v>978</v>
      </c>
      <c r="O105" s="1140" t="s">
        <v>979</v>
      </c>
    </row>
    <row r="106" spans="1:15" ht="40.5" customHeight="1" thickBot="1">
      <c r="A106" s="10"/>
      <c r="B106" s="1171"/>
      <c r="C106" s="1141"/>
      <c r="D106" s="1189"/>
      <c r="E106" s="1190"/>
      <c r="F106" s="1190"/>
      <c r="G106" s="1190"/>
      <c r="H106" s="1191"/>
      <c r="I106" s="1177"/>
      <c r="J106" s="1171"/>
      <c r="K106" s="1179"/>
      <c r="L106" s="1171"/>
      <c r="M106" s="1136"/>
      <c r="N106" s="1141"/>
      <c r="O106" s="1141"/>
    </row>
    <row r="107" spans="1:15">
      <c r="A107" s="10">
        <f>A101+1</f>
        <v>21</v>
      </c>
      <c r="B107" s="653"/>
      <c r="C107" s="654"/>
      <c r="D107" s="1167"/>
      <c r="E107" s="1168"/>
      <c r="F107" s="1168"/>
      <c r="G107" s="1168"/>
      <c r="H107" s="1169"/>
      <c r="I107" s="655"/>
      <c r="J107" s="656"/>
      <c r="K107" s="656"/>
      <c r="L107" s="706"/>
      <c r="M107" s="656"/>
      <c r="N107" s="707"/>
      <c r="O107" s="708"/>
    </row>
    <row r="108" spans="1:15">
      <c r="A108" s="10">
        <f t="shared" ref="A108:A124" si="9">A107+1</f>
        <v>22</v>
      </c>
      <c r="B108" s="657"/>
      <c r="C108" s="658"/>
      <c r="D108" s="1142"/>
      <c r="E108" s="1143"/>
      <c r="F108" s="1143"/>
      <c r="G108" s="1143"/>
      <c r="H108" s="1144"/>
      <c r="I108" s="648"/>
      <c r="J108" s="659"/>
      <c r="K108" s="659"/>
      <c r="L108" s="700"/>
      <c r="M108" s="659"/>
      <c r="N108" s="709"/>
      <c r="O108" s="710"/>
    </row>
    <row r="109" spans="1:15">
      <c r="A109" s="10">
        <f t="shared" si="9"/>
        <v>23</v>
      </c>
      <c r="B109" s="657"/>
      <c r="C109" s="658"/>
      <c r="D109" s="1142"/>
      <c r="E109" s="1143"/>
      <c r="F109" s="1143"/>
      <c r="G109" s="1143"/>
      <c r="H109" s="1144"/>
      <c r="I109" s="648"/>
      <c r="J109" s="659"/>
      <c r="K109" s="659"/>
      <c r="L109" s="700"/>
      <c r="M109" s="659"/>
      <c r="N109" s="709"/>
      <c r="O109" s="710"/>
    </row>
    <row r="110" spans="1:15">
      <c r="A110" s="10">
        <f t="shared" si="9"/>
        <v>24</v>
      </c>
      <c r="B110" s="657"/>
      <c r="C110" s="658"/>
      <c r="D110" s="1142"/>
      <c r="E110" s="1143"/>
      <c r="F110" s="1143"/>
      <c r="G110" s="1143"/>
      <c r="H110" s="1144"/>
      <c r="I110" s="648"/>
      <c r="J110" s="659"/>
      <c r="K110" s="659"/>
      <c r="L110" s="700"/>
      <c r="M110" s="659"/>
      <c r="N110" s="709"/>
      <c r="O110" s="710"/>
    </row>
    <row r="111" spans="1:15">
      <c r="A111" s="10">
        <f t="shared" si="9"/>
        <v>25</v>
      </c>
      <c r="B111" s="657"/>
      <c r="C111" s="658"/>
      <c r="D111" s="1142"/>
      <c r="E111" s="1143"/>
      <c r="F111" s="1143"/>
      <c r="G111" s="1143"/>
      <c r="H111" s="1144"/>
      <c r="I111" s="648"/>
      <c r="J111" s="659"/>
      <c r="K111" s="659"/>
      <c r="L111" s="700"/>
      <c r="M111" s="659"/>
      <c r="N111" s="709"/>
      <c r="O111" s="710"/>
    </row>
    <row r="112" spans="1:15">
      <c r="A112" s="10">
        <f t="shared" si="9"/>
        <v>26</v>
      </c>
      <c r="B112" s="657"/>
      <c r="C112" s="658"/>
      <c r="D112" s="1142"/>
      <c r="E112" s="1143"/>
      <c r="F112" s="1143"/>
      <c r="G112" s="1143"/>
      <c r="H112" s="1144"/>
      <c r="I112" s="648"/>
      <c r="J112" s="659"/>
      <c r="K112" s="659"/>
      <c r="L112" s="700"/>
      <c r="M112" s="659"/>
      <c r="N112" s="709"/>
      <c r="O112" s="710"/>
    </row>
    <row r="113" spans="1:15">
      <c r="A113" s="10">
        <f t="shared" si="9"/>
        <v>27</v>
      </c>
      <c r="B113" s="657"/>
      <c r="C113" s="658"/>
      <c r="D113" s="1142"/>
      <c r="E113" s="1143"/>
      <c r="F113" s="1143"/>
      <c r="G113" s="1143"/>
      <c r="H113" s="1144"/>
      <c r="I113" s="648"/>
      <c r="J113" s="659"/>
      <c r="K113" s="659"/>
      <c r="L113" s="700"/>
      <c r="M113" s="659"/>
      <c r="N113" s="709"/>
      <c r="O113" s="710"/>
    </row>
    <row r="114" spans="1:15" ht="13.5" customHeight="1">
      <c r="A114" s="10">
        <f t="shared" si="9"/>
        <v>28</v>
      </c>
      <c r="B114" s="657"/>
      <c r="C114" s="658"/>
      <c r="D114" s="1142"/>
      <c r="E114" s="1143"/>
      <c r="F114" s="1143"/>
      <c r="G114" s="1143"/>
      <c r="H114" s="1144"/>
      <c r="I114" s="648"/>
      <c r="J114" s="659"/>
      <c r="K114" s="659"/>
      <c r="L114" s="700"/>
      <c r="M114" s="659"/>
      <c r="N114" s="709"/>
      <c r="O114" s="710"/>
    </row>
    <row r="115" spans="1:15" ht="12.75" customHeight="1">
      <c r="A115" s="10">
        <f t="shared" si="9"/>
        <v>29</v>
      </c>
      <c r="B115" s="657"/>
      <c r="C115" s="658"/>
      <c r="D115" s="1142"/>
      <c r="E115" s="1143"/>
      <c r="F115" s="1143"/>
      <c r="G115" s="1143"/>
      <c r="H115" s="1144"/>
      <c r="I115" s="648"/>
      <c r="J115" s="659"/>
      <c r="K115" s="659"/>
      <c r="L115" s="700"/>
      <c r="M115" s="659"/>
      <c r="N115" s="709"/>
      <c r="O115" s="710"/>
    </row>
    <row r="116" spans="1:15">
      <c r="A116" s="10">
        <f t="shared" si="9"/>
        <v>30</v>
      </c>
      <c r="B116" s="657"/>
      <c r="C116" s="658"/>
      <c r="D116" s="1142"/>
      <c r="E116" s="1143"/>
      <c r="F116" s="1143"/>
      <c r="G116" s="1143"/>
      <c r="H116" s="1144"/>
      <c r="I116" s="648"/>
      <c r="J116" s="659"/>
      <c r="K116" s="659"/>
      <c r="L116" s="700"/>
      <c r="M116" s="659"/>
      <c r="N116" s="709"/>
      <c r="O116" s="710"/>
    </row>
    <row r="117" spans="1:15">
      <c r="A117" s="10">
        <f t="shared" si="9"/>
        <v>31</v>
      </c>
      <c r="B117" s="657"/>
      <c r="C117" s="658"/>
      <c r="D117" s="645"/>
      <c r="E117" s="649"/>
      <c r="F117" s="649"/>
      <c r="G117" s="649"/>
      <c r="H117" s="650"/>
      <c r="I117" s="648"/>
      <c r="J117" s="659"/>
      <c r="K117" s="659"/>
      <c r="L117" s="700"/>
      <c r="M117" s="659"/>
      <c r="N117" s="709"/>
      <c r="O117" s="710"/>
    </row>
    <row r="118" spans="1:15">
      <c r="A118" s="10">
        <f t="shared" si="9"/>
        <v>32</v>
      </c>
      <c r="B118" s="657"/>
      <c r="C118" s="658"/>
      <c r="D118" s="1142"/>
      <c r="E118" s="1143"/>
      <c r="F118" s="1143"/>
      <c r="G118" s="1143"/>
      <c r="H118" s="1144"/>
      <c r="I118" s="648"/>
      <c r="J118" s="659"/>
      <c r="K118" s="659"/>
      <c r="L118" s="700"/>
      <c r="M118" s="659"/>
      <c r="N118" s="709"/>
      <c r="O118" s="710"/>
    </row>
    <row r="119" spans="1:15">
      <c r="A119" s="10">
        <f t="shared" si="9"/>
        <v>33</v>
      </c>
      <c r="B119" s="657"/>
      <c r="C119" s="658"/>
      <c r="D119" s="1142"/>
      <c r="E119" s="1143"/>
      <c r="F119" s="1143"/>
      <c r="G119" s="1143"/>
      <c r="H119" s="1144"/>
      <c r="I119" s="648"/>
      <c r="J119" s="659"/>
      <c r="K119" s="659"/>
      <c r="L119" s="700"/>
      <c r="M119" s="659"/>
      <c r="N119" s="709"/>
      <c r="O119" s="710"/>
    </row>
    <row r="120" spans="1:15">
      <c r="A120" s="10">
        <f t="shared" si="9"/>
        <v>34</v>
      </c>
      <c r="B120" s="657"/>
      <c r="C120" s="658"/>
      <c r="D120" s="1142"/>
      <c r="E120" s="1143"/>
      <c r="F120" s="1143"/>
      <c r="G120" s="1143"/>
      <c r="H120" s="1144"/>
      <c r="I120" s="648"/>
      <c r="J120" s="659"/>
      <c r="K120" s="659"/>
      <c r="L120" s="700"/>
      <c r="M120" s="659"/>
      <c r="N120" s="709"/>
      <c r="O120" s="710"/>
    </row>
    <row r="121" spans="1:15">
      <c r="A121" s="10">
        <f t="shared" si="9"/>
        <v>35</v>
      </c>
      <c r="B121" s="657"/>
      <c r="C121" s="658"/>
      <c r="D121" s="1142"/>
      <c r="E121" s="1143"/>
      <c r="F121" s="1143"/>
      <c r="G121" s="1143"/>
      <c r="H121" s="1144"/>
      <c r="I121" s="648"/>
      <c r="J121" s="659"/>
      <c r="K121" s="659"/>
      <c r="L121" s="700"/>
      <c r="M121" s="659"/>
      <c r="N121" s="709"/>
      <c r="O121" s="710"/>
    </row>
    <row r="122" spans="1:15">
      <c r="A122" s="10">
        <f t="shared" si="9"/>
        <v>36</v>
      </c>
      <c r="B122" s="657"/>
      <c r="C122" s="658"/>
      <c r="D122" s="1142"/>
      <c r="E122" s="1143"/>
      <c r="F122" s="1143"/>
      <c r="G122" s="1143"/>
      <c r="H122" s="1144"/>
      <c r="I122" s="648"/>
      <c r="J122" s="659"/>
      <c r="K122" s="659"/>
      <c r="L122" s="700"/>
      <c r="M122" s="659"/>
      <c r="N122" s="709"/>
      <c r="O122" s="710"/>
    </row>
    <row r="123" spans="1:15">
      <c r="A123" s="10">
        <f t="shared" si="9"/>
        <v>37</v>
      </c>
      <c r="B123" s="657"/>
      <c r="C123" s="660"/>
      <c r="D123" s="1142"/>
      <c r="E123" s="1143"/>
      <c r="F123" s="1143"/>
      <c r="G123" s="1143"/>
      <c r="H123" s="1144"/>
      <c r="I123" s="648"/>
      <c r="J123" s="659"/>
      <c r="K123" s="659"/>
      <c r="L123" s="700"/>
      <c r="M123" s="659"/>
      <c r="N123" s="711"/>
      <c r="O123" s="712"/>
    </row>
    <row r="124" spans="1:15" ht="16.2" thickBot="1">
      <c r="A124" s="10">
        <f t="shared" si="9"/>
        <v>38</v>
      </c>
      <c r="B124" s="1186" t="s">
        <v>924</v>
      </c>
      <c r="C124" s="1192"/>
      <c r="D124" s="1187"/>
      <c r="E124" s="1187"/>
      <c r="F124" s="1187"/>
      <c r="G124" s="1187"/>
      <c r="H124" s="1188"/>
      <c r="I124" s="626" t="s">
        <v>441</v>
      </c>
      <c r="J124" s="683">
        <f t="shared" ref="J124:O124" si="10">SUM(J107:J123)</f>
        <v>0</v>
      </c>
      <c r="K124" s="683">
        <f t="shared" si="10"/>
        <v>0</v>
      </c>
      <c r="L124" s="714">
        <f t="shared" si="10"/>
        <v>0</v>
      </c>
      <c r="M124" s="683">
        <f t="shared" si="10"/>
        <v>0</v>
      </c>
      <c r="N124" s="684">
        <f t="shared" si="10"/>
        <v>0</v>
      </c>
      <c r="O124" s="684">
        <f t="shared" si="10"/>
        <v>0</v>
      </c>
    </row>
    <row r="125" spans="1:15" ht="15.6">
      <c r="A125" s="10"/>
      <c r="B125" s="629"/>
      <c r="C125" s="629"/>
      <c r="D125" s="8"/>
      <c r="E125" s="8"/>
      <c r="F125" s="8"/>
      <c r="G125" s="8"/>
      <c r="H125" s="8"/>
      <c r="J125" s="306"/>
      <c r="K125" s="306"/>
      <c r="L125" s="306"/>
      <c r="M125" s="306"/>
    </row>
    <row r="126" spans="1:15" ht="15.6" thickBot="1"/>
    <row r="127" spans="1:15" ht="20.100000000000001" customHeight="1">
      <c r="A127" s="978">
        <v>39</v>
      </c>
      <c r="B127" s="630" t="s">
        <v>985</v>
      </c>
      <c r="C127" s="631"/>
      <c r="D127" s="631"/>
      <c r="E127" s="631"/>
      <c r="F127" s="631"/>
      <c r="G127" s="631"/>
      <c r="H127" s="631"/>
      <c r="I127" s="365"/>
      <c r="J127" s="632"/>
      <c r="K127" s="632"/>
      <c r="L127" s="703"/>
      <c r="M127" s="703"/>
      <c r="N127" s="705"/>
      <c r="O127" s="399"/>
    </row>
    <row r="128" spans="1:15" ht="15.6" thickBot="1">
      <c r="A128" s="978"/>
      <c r="B128" s="1193" t="s">
        <v>990</v>
      </c>
      <c r="C128" s="1194"/>
      <c r="D128" s="1194"/>
      <c r="E128" s="1194"/>
      <c r="F128" s="1194"/>
      <c r="G128" s="1194"/>
      <c r="H128" s="1194"/>
      <c r="I128" s="1194"/>
      <c r="J128" s="685">
        <f t="shared" ref="J128:O128" si="11">J61+J86+J101+J124</f>
        <v>1420265.37375</v>
      </c>
      <c r="K128" s="685">
        <f t="shared" si="11"/>
        <v>195107.51263239485</v>
      </c>
      <c r="L128" s="704">
        <f t="shared" si="11"/>
        <v>0</v>
      </c>
      <c r="M128" s="704">
        <f t="shared" si="11"/>
        <v>195107.51263239485</v>
      </c>
      <c r="N128" s="704">
        <f t="shared" si="11"/>
        <v>13243</v>
      </c>
      <c r="O128" s="686">
        <f t="shared" si="11"/>
        <v>181864.51263239485</v>
      </c>
    </row>
    <row r="129" spans="1:15">
      <c r="G129" s="10"/>
      <c r="J129" s="10" t="s">
        <v>917</v>
      </c>
    </row>
    <row r="130" spans="1:15">
      <c r="G130" s="10"/>
      <c r="J130" s="647" t="s">
        <v>925</v>
      </c>
    </row>
    <row r="131" spans="1:15" ht="15.6">
      <c r="B131" s="975" t="s">
        <v>983</v>
      </c>
      <c r="C131" s="975"/>
      <c r="D131" s="975"/>
      <c r="E131" s="975"/>
      <c r="F131" s="975"/>
      <c r="G131" s="975"/>
      <c r="H131" s="975"/>
      <c r="I131" s="975"/>
      <c r="J131" s="975"/>
      <c r="K131" s="975"/>
      <c r="L131" s="975"/>
      <c r="M131" s="975"/>
      <c r="N131" s="975"/>
      <c r="O131" s="975"/>
    </row>
    <row r="132" spans="1:15">
      <c r="B132" s="976" t="str">
        <f>$B$2</f>
        <v>(For Rate Year Beginning April 1, 2026, Based on December 31, 2025 Data)</v>
      </c>
      <c r="C132" s="976"/>
      <c r="D132" s="976"/>
      <c r="E132" s="976"/>
      <c r="F132" s="976"/>
      <c r="G132" s="976"/>
      <c r="H132" s="976"/>
      <c r="I132" s="976"/>
      <c r="J132" s="976"/>
      <c r="K132" s="976"/>
      <c r="L132" s="976"/>
      <c r="M132" s="976"/>
      <c r="N132" s="976"/>
      <c r="O132" s="976"/>
    </row>
    <row r="134" spans="1:15" ht="15.6">
      <c r="A134" s="1157" t="s">
        <v>986</v>
      </c>
      <c r="B134" s="1158"/>
      <c r="C134" s="1158"/>
      <c r="D134" s="1158"/>
      <c r="E134" s="1158"/>
      <c r="F134" s="1158"/>
    </row>
    <row r="136" spans="1:15">
      <c r="B136" s="6" t="s">
        <v>926</v>
      </c>
    </row>
    <row r="137" spans="1:15">
      <c r="B137" s="6" t="s">
        <v>927</v>
      </c>
    </row>
    <row r="138" spans="1:15">
      <c r="B138" s="6" t="s">
        <v>972</v>
      </c>
    </row>
    <row r="139" spans="1:15">
      <c r="B139" s="6" t="s">
        <v>954</v>
      </c>
    </row>
    <row r="141" spans="1:15">
      <c r="A141" s="1130" t="s">
        <v>244</v>
      </c>
      <c r="B141" s="978"/>
    </row>
    <row r="142" spans="1:15" ht="6" customHeight="1" thickBot="1">
      <c r="A142" s="1131"/>
      <c r="B142" s="1131"/>
    </row>
    <row r="143" spans="1:15" ht="15.6" thickBot="1">
      <c r="A143" s="1128" t="s">
        <v>521</v>
      </c>
      <c r="B143" s="1129"/>
      <c r="C143" s="1149" t="s">
        <v>930</v>
      </c>
      <c r="D143" s="1150"/>
      <c r="E143" s="1151" t="s">
        <v>1773</v>
      </c>
      <c r="F143" s="1151"/>
      <c r="G143" s="1151"/>
      <c r="H143" s="1151"/>
      <c r="I143" s="1151"/>
      <c r="J143" s="1151"/>
      <c r="K143" s="1151"/>
      <c r="L143" s="1152"/>
    </row>
    <row r="144" spans="1:15" ht="15" customHeight="1" thickBot="1">
      <c r="A144" s="1131"/>
      <c r="B144" s="1162"/>
      <c r="C144" s="634"/>
      <c r="D144" s="628"/>
      <c r="E144" s="628"/>
      <c r="F144" s="1153" t="s">
        <v>177</v>
      </c>
      <c r="G144" s="1154"/>
      <c r="H144" s="628"/>
      <c r="I144" s="628"/>
      <c r="J144" s="628"/>
      <c r="K144" s="628"/>
      <c r="L144" s="635" t="s">
        <v>178</v>
      </c>
    </row>
    <row r="145" spans="1:25">
      <c r="A145" s="1128" t="s">
        <v>518</v>
      </c>
      <c r="B145" s="1129"/>
      <c r="C145" s="1155" t="s">
        <v>931</v>
      </c>
      <c r="D145" s="1156"/>
      <c r="E145" s="1156"/>
      <c r="F145" s="1159">
        <v>132893</v>
      </c>
      <c r="G145" s="1160"/>
      <c r="H145" s="1161"/>
      <c r="I145" s="1156"/>
      <c r="J145" s="1156"/>
      <c r="K145" s="1156"/>
      <c r="L145" s="636"/>
      <c r="X145" s="8"/>
      <c r="Y145" s="8"/>
    </row>
    <row r="146" spans="1:25">
      <c r="A146" s="1128" t="s">
        <v>515</v>
      </c>
      <c r="B146" s="1129"/>
      <c r="C146" s="1145" t="s">
        <v>932</v>
      </c>
      <c r="D146" s="1146"/>
      <c r="E146" s="1146"/>
      <c r="F146" s="1133">
        <v>44152</v>
      </c>
      <c r="G146" s="1134"/>
      <c r="H146" s="1148" t="s">
        <v>933</v>
      </c>
      <c r="I146" s="1146"/>
      <c r="J146" s="1146"/>
      <c r="K146" s="1146"/>
      <c r="L146" s="671">
        <v>0</v>
      </c>
      <c r="X146" s="637"/>
      <c r="Y146" s="8"/>
    </row>
    <row r="147" spans="1:25">
      <c r="A147" s="1128" t="s">
        <v>512</v>
      </c>
      <c r="B147" s="1129"/>
      <c r="C147" s="1145" t="s">
        <v>934</v>
      </c>
      <c r="D147" s="1146"/>
      <c r="E147" s="1146"/>
      <c r="F147" s="1147"/>
      <c r="G147" s="1134"/>
      <c r="H147" s="1148" t="s">
        <v>1632</v>
      </c>
      <c r="I147" s="1146"/>
      <c r="J147" s="1146"/>
      <c r="K147" s="1146"/>
      <c r="L147" s="674">
        <f>L146*L190</f>
        <v>0</v>
      </c>
      <c r="X147" s="8"/>
      <c r="Y147" s="8"/>
    </row>
    <row r="148" spans="1:25" ht="15.6" thickBot="1">
      <c r="A148" s="1128" t="s">
        <v>510</v>
      </c>
      <c r="B148" s="978"/>
      <c r="C148" s="1145" t="s">
        <v>935</v>
      </c>
      <c r="D148" s="1146"/>
      <c r="E148" s="1146"/>
      <c r="F148" s="1133">
        <v>44470</v>
      </c>
      <c r="G148" s="1134"/>
      <c r="H148" s="1148"/>
      <c r="I148" s="1146"/>
      <c r="J148" s="1146"/>
      <c r="K148" s="1146"/>
      <c r="L148" s="664"/>
      <c r="X148" s="8"/>
      <c r="Y148" s="637"/>
    </row>
    <row r="149" spans="1:25" ht="15" customHeight="1">
      <c r="A149" s="1128" t="s">
        <v>96</v>
      </c>
      <c r="B149" s="978"/>
      <c r="C149" s="246" t="s">
        <v>1620</v>
      </c>
      <c r="D149" s="665"/>
      <c r="E149" s="665"/>
      <c r="F149" s="665"/>
      <c r="G149" s="665"/>
      <c r="H149" s="665"/>
      <c r="I149" s="665"/>
      <c r="J149" s="665"/>
      <c r="K149" s="665"/>
      <c r="L149" s="676">
        <f>+'11 - Facilities'!N39</f>
        <v>1420265.37375</v>
      </c>
      <c r="X149" s="8"/>
      <c r="Y149" s="637"/>
    </row>
    <row r="150" spans="1:25">
      <c r="A150" s="1128" t="s">
        <v>95</v>
      </c>
      <c r="B150" s="978"/>
      <c r="C150" s="234" t="s">
        <v>956</v>
      </c>
      <c r="D150" s="628"/>
      <c r="E150" s="628"/>
      <c r="F150" s="628"/>
      <c r="G150" s="663"/>
      <c r="H150" s="628"/>
      <c r="I150" s="628"/>
      <c r="J150" s="628"/>
      <c r="K150" s="628"/>
      <c r="L150" s="673">
        <f>Inputs!$D$112</f>
        <v>85279144.388324827</v>
      </c>
      <c r="X150" s="8"/>
      <c r="Y150" s="637"/>
    </row>
    <row r="151" spans="1:25">
      <c r="A151" s="1128" t="s">
        <v>93</v>
      </c>
      <c r="B151" s="978"/>
      <c r="C151" s="234" t="s">
        <v>957</v>
      </c>
      <c r="D151" s="628"/>
      <c r="E151" s="628"/>
      <c r="F151" s="628"/>
      <c r="G151" s="663"/>
      <c r="H151" s="628"/>
      <c r="I151" s="628"/>
      <c r="J151" s="628"/>
      <c r="K151" s="628"/>
      <c r="L151" s="673">
        <f>Inputs!$D$113</f>
        <v>35519691.656922147</v>
      </c>
      <c r="X151" s="8"/>
      <c r="Y151" s="637"/>
    </row>
    <row r="152" spans="1:25" ht="15" customHeight="1">
      <c r="A152" s="1128" t="s">
        <v>92</v>
      </c>
      <c r="B152" s="978"/>
      <c r="C152" s="661" t="s">
        <v>975</v>
      </c>
      <c r="D152" s="628"/>
      <c r="E152" s="628"/>
      <c r="F152" s="628"/>
      <c r="G152" s="663"/>
      <c r="H152" s="628"/>
      <c r="I152" s="628"/>
      <c r="J152" s="628"/>
      <c r="K152" s="628"/>
      <c r="L152" s="673">
        <f>L150-L151</f>
        <v>49759452.73140268</v>
      </c>
      <c r="X152" s="8"/>
      <c r="Y152" s="637"/>
    </row>
    <row r="153" spans="1:25">
      <c r="A153" s="1128" t="s">
        <v>107</v>
      </c>
      <c r="B153" s="978"/>
      <c r="C153" s="661" t="s">
        <v>976</v>
      </c>
      <c r="D153" s="628"/>
      <c r="E153" s="628"/>
      <c r="F153" s="628"/>
      <c r="G153" s="663"/>
      <c r="H153" s="628"/>
      <c r="I153" s="628"/>
      <c r="J153" s="628"/>
      <c r="K153" s="628"/>
      <c r="L153" s="677">
        <f>L149/L152</f>
        <v>2.854262448215563E-2</v>
      </c>
      <c r="X153" s="8"/>
      <c r="Y153" s="637"/>
    </row>
    <row r="154" spans="1:25">
      <c r="A154" s="1128" t="s">
        <v>105</v>
      </c>
      <c r="B154" s="978"/>
      <c r="C154" s="661"/>
      <c r="D154" s="628"/>
      <c r="E154" s="628"/>
      <c r="F154" s="628"/>
      <c r="G154" s="663"/>
      <c r="H154" s="628"/>
      <c r="I154" s="628"/>
      <c r="J154" s="628"/>
      <c r="K154" s="628"/>
      <c r="L154" s="677"/>
      <c r="X154" s="8"/>
      <c r="Y154" s="637"/>
    </row>
    <row r="155" spans="1:25" ht="15.6">
      <c r="A155" s="1128" t="s">
        <v>104</v>
      </c>
      <c r="B155" s="978"/>
      <c r="C155" s="666" t="s">
        <v>967</v>
      </c>
      <c r="D155" s="628"/>
      <c r="E155" s="628"/>
      <c r="F155" s="628"/>
      <c r="G155" s="663"/>
      <c r="H155" s="628"/>
      <c r="I155" s="628"/>
      <c r="J155" s="628"/>
      <c r="K155" s="628"/>
      <c r="L155" s="677"/>
      <c r="X155" s="8"/>
      <c r="Y155" s="637"/>
    </row>
    <row r="156" spans="1:25">
      <c r="A156" s="1128" t="s">
        <v>103</v>
      </c>
      <c r="B156" s="978"/>
      <c r="C156" s="661" t="s">
        <v>1622</v>
      </c>
      <c r="D156" s="628"/>
      <c r="E156" s="628"/>
      <c r="F156" s="628"/>
      <c r="G156" s="663"/>
      <c r="H156" s="628"/>
      <c r="I156" s="628"/>
      <c r="J156" s="628"/>
      <c r="K156" s="628"/>
      <c r="L156" s="673">
        <f>+AppendixA!$H$48-AppendixA!$H$62</f>
        <v>701728.60760892951</v>
      </c>
      <c r="X156" s="8"/>
      <c r="Y156" s="637"/>
    </row>
    <row r="157" spans="1:25">
      <c r="A157" s="1128" t="s">
        <v>727</v>
      </c>
      <c r="B157" s="978"/>
      <c r="C157" s="661" t="s">
        <v>1623</v>
      </c>
      <c r="D157" s="628"/>
      <c r="E157" s="628"/>
      <c r="F157" s="628"/>
      <c r="G157" s="663"/>
      <c r="H157" s="628"/>
      <c r="I157" s="628"/>
      <c r="J157" s="628"/>
      <c r="K157" s="628"/>
      <c r="L157" s="673">
        <f>+L156*L153</f>
        <v>20029.176135367612</v>
      </c>
      <c r="X157" s="8"/>
      <c r="Y157" s="637"/>
    </row>
    <row r="158" spans="1:25">
      <c r="A158" s="1128" t="s">
        <v>728</v>
      </c>
      <c r="B158" s="978"/>
      <c r="C158" s="880"/>
      <c r="D158" s="628"/>
      <c r="E158" s="628"/>
      <c r="F158" s="628"/>
      <c r="G158" s="663"/>
      <c r="H158" s="628"/>
      <c r="I158" s="628"/>
      <c r="J158" s="628"/>
      <c r="K158" s="628"/>
      <c r="L158" s="890"/>
      <c r="X158" s="8"/>
      <c r="Y158" s="637"/>
    </row>
    <row r="159" spans="1:25" ht="15.6">
      <c r="A159" s="1128" t="s">
        <v>745</v>
      </c>
      <c r="B159" s="1132"/>
      <c r="C159" s="666" t="s">
        <v>1644</v>
      </c>
      <c r="D159" s="628"/>
      <c r="E159" s="628"/>
      <c r="F159" s="628"/>
      <c r="G159" s="663"/>
      <c r="H159" s="628"/>
      <c r="I159" s="628"/>
      <c r="J159" s="628"/>
      <c r="K159" s="628"/>
      <c r="L159" s="664"/>
      <c r="P159" s="892"/>
      <c r="X159" s="8"/>
      <c r="Y159" s="637"/>
    </row>
    <row r="160" spans="1:25">
      <c r="A160" s="1128" t="s">
        <v>746</v>
      </c>
      <c r="B160" s="1132"/>
      <c r="C160" s="661" t="s">
        <v>958</v>
      </c>
      <c r="D160" s="628"/>
      <c r="E160" s="628"/>
      <c r="F160" s="628"/>
      <c r="G160" s="663"/>
      <c r="H160" s="628"/>
      <c r="I160" s="628"/>
      <c r="J160" s="628"/>
      <c r="K160" s="628"/>
      <c r="L160" s="673">
        <f>AppendixA!$H$95</f>
        <v>-5612988.9467919813</v>
      </c>
      <c r="P160" s="661"/>
      <c r="X160" s="8"/>
      <c r="Y160" s="637"/>
    </row>
    <row r="161" spans="1:25">
      <c r="A161" s="1128" t="s">
        <v>747</v>
      </c>
      <c r="B161" s="1132"/>
      <c r="C161" s="661" t="s">
        <v>1655</v>
      </c>
      <c r="D161" s="628"/>
      <c r="E161" s="628"/>
      <c r="F161" s="628"/>
      <c r="G161" s="663"/>
      <c r="H161" s="628"/>
      <c r="I161" s="628"/>
      <c r="J161" s="628"/>
      <c r="K161" s="628"/>
      <c r="L161" s="673">
        <f>L160*L153</f>
        <v>-160209.43573077375</v>
      </c>
      <c r="P161" s="661"/>
      <c r="X161" s="8"/>
      <c r="Y161" s="637"/>
    </row>
    <row r="162" spans="1:25">
      <c r="A162" s="1128" t="s">
        <v>748</v>
      </c>
      <c r="B162" s="978"/>
      <c r="C162" s="661" t="s">
        <v>1656</v>
      </c>
      <c r="D162" s="628"/>
      <c r="E162" s="628"/>
      <c r="F162" s="628"/>
      <c r="G162" s="663"/>
      <c r="H162" s="628"/>
      <c r="I162" s="628"/>
      <c r="J162" s="628"/>
      <c r="K162" s="628"/>
      <c r="L162" s="673">
        <f>L149+L161+L157</f>
        <v>1280085.114154594</v>
      </c>
      <c r="P162" s="893"/>
      <c r="X162" s="8"/>
      <c r="Y162" s="637"/>
    </row>
    <row r="163" spans="1:25">
      <c r="A163" s="1128" t="s">
        <v>749</v>
      </c>
      <c r="B163" s="978"/>
      <c r="C163" s="661" t="s">
        <v>959</v>
      </c>
      <c r="D163" s="628"/>
      <c r="E163" s="628"/>
      <c r="F163" s="628"/>
      <c r="G163" s="663"/>
      <c r="H163" s="628"/>
      <c r="I163" s="628"/>
      <c r="J163" s="628"/>
      <c r="K163" s="628"/>
      <c r="L163" s="677">
        <f>AppendixA!$H$182</f>
        <v>7.3603939048291073E-2</v>
      </c>
      <c r="P163" s="661"/>
      <c r="X163" s="8"/>
      <c r="Y163" s="637"/>
    </row>
    <row r="164" spans="1:25">
      <c r="A164" s="1128" t="s">
        <v>750</v>
      </c>
      <c r="B164" s="978"/>
      <c r="C164" s="661" t="s">
        <v>1657</v>
      </c>
      <c r="D164" s="628"/>
      <c r="E164" s="628"/>
      <c r="F164" s="628"/>
      <c r="G164" s="663"/>
      <c r="H164" s="628"/>
      <c r="I164" s="628"/>
      <c r="J164" s="628"/>
      <c r="K164" s="628"/>
      <c r="L164" s="673">
        <f>L162*L163</f>
        <v>94219.306718859458</v>
      </c>
      <c r="P164" s="661"/>
      <c r="X164" s="8"/>
      <c r="Y164" s="637"/>
    </row>
    <row r="165" spans="1:25">
      <c r="A165" s="878"/>
      <c r="B165" s="882" t="s">
        <v>751</v>
      </c>
      <c r="C165" s="661"/>
      <c r="D165" s="628"/>
      <c r="E165" s="628"/>
      <c r="F165" s="628"/>
      <c r="G165" s="663"/>
      <c r="H165" s="628"/>
      <c r="I165" s="628"/>
      <c r="J165" s="628"/>
      <c r="K165" s="628"/>
      <c r="L165" s="673"/>
      <c r="P165" s="661"/>
      <c r="X165" s="8"/>
      <c r="Y165" s="637"/>
    </row>
    <row r="166" spans="1:25" ht="15.6">
      <c r="A166" s="1128" t="s">
        <v>936</v>
      </c>
      <c r="B166" s="978"/>
      <c r="C166" s="666" t="s">
        <v>1645</v>
      </c>
      <c r="D166" s="628"/>
      <c r="E166" s="628"/>
      <c r="F166" s="628"/>
      <c r="G166" s="663"/>
      <c r="H166" s="628"/>
      <c r="I166" s="628"/>
      <c r="J166" s="628"/>
      <c r="K166" s="628"/>
      <c r="L166" s="673"/>
      <c r="P166" s="666"/>
      <c r="X166" s="8"/>
      <c r="Y166" s="637"/>
    </row>
    <row r="167" spans="1:25">
      <c r="A167" s="1128">
        <v>24</v>
      </c>
      <c r="B167" s="978"/>
      <c r="C167" s="661" t="s">
        <v>1647</v>
      </c>
      <c r="D167" s="628"/>
      <c r="E167" s="628"/>
      <c r="F167" s="628"/>
      <c r="G167" s="663"/>
      <c r="H167" s="628"/>
      <c r="I167" s="628"/>
      <c r="J167" s="628"/>
      <c r="K167" s="628"/>
      <c r="L167" s="673">
        <f>+AppendixA!$H$141</f>
        <v>62220.916888344676</v>
      </c>
      <c r="P167" s="661"/>
      <c r="X167" s="8"/>
      <c r="Y167" s="637"/>
    </row>
    <row r="168" spans="1:25">
      <c r="A168" s="1128" t="s">
        <v>937</v>
      </c>
      <c r="B168" s="978"/>
      <c r="C168" s="885"/>
      <c r="D168" s="886"/>
      <c r="E168" s="886"/>
      <c r="F168" s="886"/>
      <c r="G168" s="887"/>
      <c r="H168" s="886"/>
      <c r="I168" s="886"/>
      <c r="J168" s="886"/>
      <c r="K168" s="886"/>
      <c r="L168" s="888"/>
      <c r="P168" s="894"/>
      <c r="X168" s="8"/>
      <c r="Y168" s="637"/>
    </row>
    <row r="169" spans="1:25">
      <c r="A169" s="1128" t="s">
        <v>938</v>
      </c>
      <c r="B169" s="978"/>
      <c r="C169" s="661" t="s">
        <v>1646</v>
      </c>
      <c r="D169" s="628"/>
      <c r="E169" s="628"/>
      <c r="F169" s="628"/>
      <c r="G169" s="663"/>
      <c r="H169" s="628"/>
      <c r="I169" s="628"/>
      <c r="J169" s="628"/>
      <c r="K169" s="628"/>
      <c r="L169" s="673">
        <f>+L167*L153</f>
        <v>1775.9482656794376</v>
      </c>
      <c r="P169" s="893"/>
      <c r="X169" s="8"/>
      <c r="Y169" s="637"/>
    </row>
    <row r="170" spans="1:25">
      <c r="A170" s="1128" t="s">
        <v>939</v>
      </c>
      <c r="B170" s="978"/>
      <c r="C170" s="661"/>
      <c r="D170" s="628"/>
      <c r="E170" s="628"/>
      <c r="F170" s="628"/>
      <c r="G170" s="663"/>
      <c r="H170" s="628"/>
      <c r="I170" s="628"/>
      <c r="J170" s="628"/>
      <c r="K170" s="628"/>
      <c r="L170" s="664"/>
      <c r="P170" s="661"/>
      <c r="X170" s="8"/>
      <c r="Y170" s="637"/>
    </row>
    <row r="171" spans="1:25" ht="15.6">
      <c r="A171" s="1128" t="s">
        <v>940</v>
      </c>
      <c r="B171" s="978"/>
      <c r="C171" s="666" t="s">
        <v>960</v>
      </c>
      <c r="D171" s="628"/>
      <c r="E171" s="628"/>
      <c r="F171" s="628"/>
      <c r="G171" s="663"/>
      <c r="H171" s="628"/>
      <c r="I171" s="628"/>
      <c r="J171" s="628"/>
      <c r="K171" s="628"/>
      <c r="L171" s="664"/>
      <c r="P171" s="666"/>
      <c r="X171" s="8"/>
      <c r="Y171" s="637"/>
    </row>
    <row r="172" spans="1:25">
      <c r="A172" s="1128" t="s">
        <v>968</v>
      </c>
      <c r="B172" s="978"/>
      <c r="C172" s="661" t="s">
        <v>961</v>
      </c>
      <c r="D172" s="628"/>
      <c r="E172" s="628"/>
      <c r="F172" s="628"/>
      <c r="G172" s="663"/>
      <c r="H172" s="628"/>
      <c r="I172" s="628"/>
      <c r="J172" s="628"/>
      <c r="K172" s="628"/>
      <c r="L172" s="673">
        <f>AppendixA!$H$130</f>
        <v>1172367.8913758555</v>
      </c>
      <c r="P172" s="661"/>
      <c r="X172" s="8"/>
      <c r="Y172" s="637"/>
    </row>
    <row r="173" spans="1:25">
      <c r="A173" s="1128" t="s">
        <v>969</v>
      </c>
      <c r="B173" s="978"/>
      <c r="C173" s="661" t="s">
        <v>1658</v>
      </c>
      <c r="D173" s="628"/>
      <c r="E173" s="628"/>
      <c r="F173" s="628"/>
      <c r="G173" s="663"/>
      <c r="H173" s="628"/>
      <c r="I173" s="628"/>
      <c r="J173" s="628"/>
      <c r="K173" s="628"/>
      <c r="L173" s="673">
        <f>L153*L172</f>
        <v>33462.456478477667</v>
      </c>
      <c r="P173" s="661"/>
      <c r="X173" s="8"/>
      <c r="Y173" s="637"/>
    </row>
    <row r="174" spans="1:25">
      <c r="A174" s="1128" t="s">
        <v>970</v>
      </c>
      <c r="B174" s="978"/>
      <c r="C174" s="661"/>
      <c r="D174" s="628"/>
      <c r="E174" s="628"/>
      <c r="F174" s="628"/>
      <c r="G174" s="663"/>
      <c r="H174" s="628"/>
      <c r="I174" s="628"/>
      <c r="J174" s="628"/>
      <c r="K174" s="628"/>
      <c r="L174" s="664"/>
      <c r="P174" s="661"/>
      <c r="X174" s="8"/>
      <c r="Y174" s="637"/>
    </row>
    <row r="175" spans="1:25" ht="15.6">
      <c r="A175" s="1128" t="s">
        <v>971</v>
      </c>
      <c r="B175" s="978"/>
      <c r="C175" s="666" t="s">
        <v>1621</v>
      </c>
      <c r="D175" s="628"/>
      <c r="E175" s="628"/>
      <c r="F175" s="628"/>
      <c r="G175" s="663"/>
      <c r="H175" s="628"/>
      <c r="I175" s="628"/>
      <c r="J175" s="628"/>
      <c r="K175" s="628"/>
      <c r="L175" s="664"/>
      <c r="P175" s="666"/>
      <c r="X175" s="8"/>
      <c r="Y175" s="637"/>
    </row>
    <row r="176" spans="1:25">
      <c r="A176" s="1128" t="s">
        <v>1633</v>
      </c>
      <c r="B176" s="978"/>
      <c r="C176" s="661" t="s">
        <v>1648</v>
      </c>
      <c r="D176" s="628"/>
      <c r="E176" s="628"/>
      <c r="F176" s="628"/>
      <c r="G176" s="663"/>
      <c r="H176" s="628"/>
      <c r="I176" s="628"/>
      <c r="J176" s="628"/>
      <c r="K176" s="628"/>
      <c r="L176" s="675">
        <f>+'11 - Facilities'!O39</f>
        <v>38662.176965499995</v>
      </c>
      <c r="P176" s="661"/>
      <c r="X176" s="8"/>
      <c r="Y176" s="637"/>
    </row>
    <row r="177" spans="1:25">
      <c r="A177" s="1128" t="s">
        <v>1624</v>
      </c>
      <c r="B177" s="978"/>
      <c r="C177" s="661"/>
      <c r="D177" s="628"/>
      <c r="E177" s="628"/>
      <c r="F177" s="628"/>
      <c r="G177" s="663"/>
      <c r="H177" s="628"/>
      <c r="I177" s="628"/>
      <c r="J177" s="628"/>
      <c r="K177" s="628"/>
      <c r="L177" s="673"/>
      <c r="P177" s="661"/>
      <c r="X177" s="8"/>
      <c r="Y177" s="637"/>
    </row>
    <row r="178" spans="1:25" ht="15.6">
      <c r="A178" s="1128" t="s">
        <v>1625</v>
      </c>
      <c r="B178" s="1132"/>
      <c r="C178" s="666" t="s">
        <v>962</v>
      </c>
      <c r="D178" s="628"/>
      <c r="E178" s="628"/>
      <c r="F178" s="628"/>
      <c r="G178" s="663"/>
      <c r="H178" s="628"/>
      <c r="I178" s="628"/>
      <c r="J178" s="628"/>
      <c r="K178" s="628"/>
      <c r="L178" s="673"/>
      <c r="P178" s="666"/>
      <c r="X178" s="8"/>
      <c r="Y178" s="637"/>
    </row>
    <row r="179" spans="1:25">
      <c r="A179" s="1128" t="s">
        <v>1634</v>
      </c>
      <c r="B179" s="978"/>
      <c r="C179" s="661" t="s">
        <v>963</v>
      </c>
      <c r="D179" s="628"/>
      <c r="E179" s="628"/>
      <c r="F179" s="628"/>
      <c r="G179" s="663"/>
      <c r="H179" s="628"/>
      <c r="I179" s="628"/>
      <c r="J179" s="628"/>
      <c r="K179" s="628"/>
      <c r="L179" s="673">
        <f>AppendixA!$H$149</f>
        <v>420701.86116179236</v>
      </c>
      <c r="P179" s="661"/>
      <c r="X179" s="8"/>
      <c r="Y179" s="637"/>
    </row>
    <row r="180" spans="1:25">
      <c r="A180" s="1128" t="s">
        <v>1635</v>
      </c>
      <c r="B180" s="978"/>
      <c r="C180" s="661" t="s">
        <v>1649</v>
      </c>
      <c r="D180" s="628"/>
      <c r="E180" s="628"/>
      <c r="F180" s="628"/>
      <c r="G180" s="663"/>
      <c r="H180" s="883"/>
      <c r="I180" s="628"/>
      <c r="J180" s="628"/>
      <c r="K180" s="628"/>
      <c r="L180" s="673">
        <f>L153*L179</f>
        <v>12007.935242085014</v>
      </c>
      <c r="P180" s="661"/>
      <c r="X180" s="8"/>
      <c r="Y180" s="637"/>
    </row>
    <row r="181" spans="1:25">
      <c r="A181" s="1128" t="s">
        <v>1626</v>
      </c>
      <c r="B181" s="978"/>
      <c r="C181" s="661"/>
      <c r="D181" s="628"/>
      <c r="E181" s="628"/>
      <c r="F181" s="628"/>
      <c r="G181" s="663"/>
      <c r="H181" s="628"/>
      <c r="I181" s="628"/>
      <c r="J181" s="628"/>
      <c r="K181" s="628"/>
      <c r="L181" s="673"/>
      <c r="P181" s="661"/>
      <c r="X181" s="8"/>
      <c r="Y181" s="637"/>
    </row>
    <row r="182" spans="1:25" ht="15.6">
      <c r="A182" s="1128" t="s">
        <v>1627</v>
      </c>
      <c r="B182" s="1132"/>
      <c r="C182" s="666" t="s">
        <v>964</v>
      </c>
      <c r="D182" s="628"/>
      <c r="E182" s="628"/>
      <c r="F182" s="628"/>
      <c r="G182" s="663"/>
      <c r="H182" s="628"/>
      <c r="I182" s="628"/>
      <c r="J182" s="628"/>
      <c r="K182" s="628"/>
      <c r="L182" s="673"/>
      <c r="P182" s="666"/>
      <c r="X182" s="8"/>
      <c r="Y182" s="637"/>
    </row>
    <row r="183" spans="1:25">
      <c r="A183" s="1128" t="s">
        <v>1636</v>
      </c>
      <c r="B183" s="978"/>
      <c r="C183" s="661" t="s">
        <v>965</v>
      </c>
      <c r="D183" s="628"/>
      <c r="E183" s="628"/>
      <c r="F183" s="628"/>
      <c r="G183" s="663"/>
      <c r="H183" s="628"/>
      <c r="I183" s="628"/>
      <c r="J183" s="628"/>
      <c r="K183" s="628"/>
      <c r="L183" s="673">
        <f>AppendixA!$H$228</f>
        <v>524818.20552830724</v>
      </c>
      <c r="P183" s="661"/>
      <c r="X183" s="8"/>
      <c r="Y183" s="637"/>
    </row>
    <row r="184" spans="1:25">
      <c r="A184" s="1128" t="s">
        <v>1637</v>
      </c>
      <c r="B184" s="978"/>
      <c r="C184" s="661" t="s">
        <v>1650</v>
      </c>
      <c r="D184" s="628"/>
      <c r="E184" s="628"/>
      <c r="F184" s="628"/>
      <c r="G184" s="663"/>
      <c r="H184" s="628"/>
      <c r="I184" s="628"/>
      <c r="J184" s="628"/>
      <c r="K184" s="628"/>
      <c r="L184" s="673">
        <f>L153*L183</f>
        <v>14979.688961793248</v>
      </c>
      <c r="P184" s="661"/>
      <c r="X184" s="8"/>
      <c r="Y184" s="637"/>
    </row>
    <row r="185" spans="1:25">
      <c r="A185" s="1128" t="s">
        <v>1628</v>
      </c>
      <c r="B185" s="1132"/>
      <c r="C185" s="661"/>
      <c r="D185" s="628"/>
      <c r="E185" s="628"/>
      <c r="F185" s="628"/>
      <c r="G185" s="663"/>
      <c r="H185" s="628"/>
      <c r="I185" s="628"/>
      <c r="J185" s="628"/>
      <c r="K185" s="628"/>
      <c r="L185" s="673"/>
      <c r="P185" s="661"/>
      <c r="X185" s="8"/>
      <c r="Y185" s="637"/>
    </row>
    <row r="186" spans="1:25" ht="15.6">
      <c r="A186" s="1128" t="s">
        <v>1638</v>
      </c>
      <c r="B186" s="978"/>
      <c r="C186" s="666" t="s">
        <v>1651</v>
      </c>
      <c r="D186" s="883"/>
      <c r="E186" s="883"/>
      <c r="F186" s="889"/>
      <c r="G186" s="884"/>
      <c r="H186" s="883"/>
      <c r="I186" s="883"/>
      <c r="J186" s="883"/>
      <c r="K186" s="628"/>
      <c r="L186" s="673">
        <f>L164+L173+L176+L180+L184+L169</f>
        <v>195107.51263239485</v>
      </c>
      <c r="P186" s="891"/>
      <c r="X186" s="8"/>
      <c r="Y186" s="637"/>
    </row>
    <row r="187" spans="1:25" ht="15.6">
      <c r="A187" s="1128" t="s">
        <v>1629</v>
      </c>
      <c r="B187" s="1132"/>
      <c r="C187" s="666"/>
      <c r="D187" s="628"/>
      <c r="E187" s="628"/>
      <c r="F187" s="662"/>
      <c r="G187" s="663"/>
      <c r="H187" s="628"/>
      <c r="I187" s="628"/>
      <c r="J187" s="628"/>
      <c r="K187" s="628"/>
      <c r="L187" s="664"/>
      <c r="P187" s="666"/>
      <c r="X187" s="8"/>
      <c r="Y187" s="637"/>
    </row>
    <row r="188" spans="1:25">
      <c r="A188" s="1128" t="s">
        <v>1639</v>
      </c>
      <c r="B188" s="978"/>
      <c r="C188" s="661" t="s">
        <v>928</v>
      </c>
      <c r="D188" s="628"/>
      <c r="E188" s="628"/>
      <c r="F188" s="662"/>
      <c r="G188" s="663"/>
      <c r="H188" s="628"/>
      <c r="I188" s="628"/>
      <c r="J188" s="628"/>
      <c r="K188" s="628"/>
      <c r="L188" s="682">
        <f>AppendixA!$H$212</f>
        <v>0.2658227848101265</v>
      </c>
      <c r="P188" s="661"/>
      <c r="X188" s="8"/>
      <c r="Y188" s="637"/>
    </row>
    <row r="189" spans="1:25">
      <c r="A189" s="1128" t="s">
        <v>1640</v>
      </c>
      <c r="B189" s="978"/>
      <c r="C189" s="661" t="s">
        <v>929</v>
      </c>
      <c r="D189" s="628"/>
      <c r="E189" s="628"/>
      <c r="F189" s="662"/>
      <c r="G189" s="663"/>
      <c r="H189" s="628"/>
      <c r="I189" s="628"/>
      <c r="J189" s="628"/>
      <c r="K189" s="628"/>
      <c r="L189" s="677">
        <f>'6-WACC'!$G$16</f>
        <v>0.50515815125064667</v>
      </c>
      <c r="P189" s="661"/>
      <c r="X189" s="8"/>
      <c r="Y189" s="637"/>
    </row>
    <row r="190" spans="1:25">
      <c r="A190" s="1128" t="s">
        <v>1641</v>
      </c>
      <c r="B190" s="978"/>
      <c r="C190" s="661" t="s">
        <v>1659</v>
      </c>
      <c r="D190" s="628"/>
      <c r="E190" s="628"/>
      <c r="F190" s="662"/>
      <c r="G190" s="663"/>
      <c r="H190" s="628"/>
      <c r="I190" s="628"/>
      <c r="J190" s="628"/>
      <c r="K190" s="628"/>
      <c r="L190" s="677">
        <f>((0.01/L188)*L189*100)</f>
        <v>1.9003568547048142</v>
      </c>
      <c r="P190" s="661"/>
      <c r="X190" s="8"/>
      <c r="Y190" s="637"/>
    </row>
    <row r="191" spans="1:25">
      <c r="A191" s="1128" t="s">
        <v>1642</v>
      </c>
      <c r="B191" s="978"/>
      <c r="C191" s="661" t="s">
        <v>1660</v>
      </c>
      <c r="D191" s="628"/>
      <c r="E191" s="628"/>
      <c r="F191" s="662"/>
      <c r="G191" s="663"/>
      <c r="H191" s="628"/>
      <c r="I191" s="628"/>
      <c r="J191" s="628"/>
      <c r="K191" s="628"/>
      <c r="L191" s="673">
        <f>L147*L162</f>
        <v>0</v>
      </c>
      <c r="P191" s="661"/>
      <c r="X191" s="8"/>
      <c r="Y191" s="637"/>
    </row>
    <row r="192" spans="1:25" ht="15.6">
      <c r="A192" s="1128" t="s">
        <v>1630</v>
      </c>
      <c r="B192" s="1132"/>
      <c r="C192" s="666"/>
      <c r="D192" s="628"/>
      <c r="E192" s="628"/>
      <c r="F192" s="662"/>
      <c r="G192" s="663"/>
      <c r="H192" s="628"/>
      <c r="I192" s="628"/>
      <c r="J192" s="628"/>
      <c r="K192" s="628"/>
      <c r="L192" s="673"/>
      <c r="P192" s="666"/>
      <c r="X192" s="8"/>
      <c r="Y192" s="637"/>
    </row>
    <row r="193" spans="1:25" ht="15.6">
      <c r="A193" s="1128" t="s">
        <v>1643</v>
      </c>
      <c r="B193" s="978"/>
      <c r="C193" s="666" t="s">
        <v>1661</v>
      </c>
      <c r="D193" s="628"/>
      <c r="E193" s="628"/>
      <c r="F193" s="662"/>
      <c r="G193" s="663"/>
      <c r="H193" s="628"/>
      <c r="I193" s="628"/>
      <c r="J193" s="628"/>
      <c r="K193" s="628"/>
      <c r="L193" s="673">
        <f>L186+L191</f>
        <v>195107.51263239485</v>
      </c>
      <c r="P193" s="666"/>
      <c r="X193" s="8"/>
      <c r="Y193" s="637"/>
    </row>
    <row r="194" spans="1:25" ht="15.6" thickBot="1">
      <c r="A194" s="1128"/>
      <c r="B194" s="1132"/>
      <c r="C194" s="667"/>
      <c r="D194" s="668"/>
      <c r="E194" s="668"/>
      <c r="F194" s="669"/>
      <c r="G194" s="670"/>
      <c r="H194" s="668"/>
      <c r="I194" s="668"/>
      <c r="J194" s="668"/>
      <c r="K194" s="668"/>
      <c r="L194" s="678"/>
      <c r="X194" s="8"/>
      <c r="Y194" s="637"/>
    </row>
    <row r="195" spans="1:25">
      <c r="A195" s="672"/>
      <c r="B195" s="672"/>
      <c r="C195" s="642"/>
      <c r="D195" s="628"/>
      <c r="E195" s="641"/>
      <c r="F195" s="628"/>
      <c r="G195" s="641"/>
      <c r="H195" s="628"/>
      <c r="I195" s="638"/>
      <c r="J195" s="638"/>
      <c r="K195" s="639"/>
      <c r="L195" s="638"/>
      <c r="W195" s="222"/>
      <c r="X195" s="222"/>
      <c r="Y195" s="222"/>
    </row>
    <row r="196" spans="1:25">
      <c r="A196" s="8" t="s">
        <v>941</v>
      </c>
      <c r="B196" s="8"/>
      <c r="C196" s="8"/>
      <c r="D196" s="8"/>
      <c r="E196" s="8"/>
      <c r="F196" s="8"/>
      <c r="G196" s="8"/>
      <c r="H196" s="8"/>
      <c r="I196" s="8"/>
      <c r="J196" s="8"/>
      <c r="K196" s="8"/>
      <c r="L196" s="8"/>
      <c r="M196" s="8"/>
      <c r="N196" s="640"/>
      <c r="O196" s="10"/>
      <c r="P196" s="222"/>
      <c r="Q196" s="222"/>
      <c r="R196" s="222"/>
      <c r="S196" s="222"/>
      <c r="T196" s="222"/>
      <c r="U196" s="10"/>
      <c r="V196" s="222"/>
      <c r="W196" s="222"/>
      <c r="X196" s="222"/>
      <c r="Y196" s="222"/>
    </row>
    <row r="197" spans="1:25">
      <c r="B197" s="10" t="s">
        <v>441</v>
      </c>
      <c r="C197" s="628"/>
      <c r="D197" s="628"/>
      <c r="E197" s="628"/>
      <c r="F197" s="628"/>
      <c r="G197" s="628"/>
      <c r="H197" s="628"/>
      <c r="I197" s="628"/>
      <c r="J197" s="628"/>
      <c r="K197" s="628"/>
      <c r="L197" s="628"/>
      <c r="M197" s="628"/>
      <c r="N197" s="640"/>
      <c r="O197" s="10"/>
      <c r="P197" s="222"/>
      <c r="Q197" s="222"/>
      <c r="R197" s="222"/>
      <c r="S197" s="222"/>
      <c r="T197" s="222"/>
      <c r="U197" s="10"/>
      <c r="V197" s="222"/>
      <c r="W197" s="222"/>
      <c r="X197" s="222"/>
      <c r="Y197" s="222"/>
    </row>
    <row r="198" spans="1:25">
      <c r="C198" s="628"/>
      <c r="D198" s="628"/>
      <c r="E198" s="628"/>
      <c r="F198" s="628"/>
      <c r="G198" s="10"/>
      <c r="H198" s="628"/>
      <c r="I198" s="628"/>
      <c r="J198" s="10" t="s">
        <v>917</v>
      </c>
      <c r="K198" s="628"/>
      <c r="L198" s="628"/>
      <c r="M198" s="628"/>
    </row>
    <row r="199" spans="1:25">
      <c r="C199" s="628"/>
      <c r="D199" s="628"/>
      <c r="E199" s="628"/>
      <c r="F199" s="628"/>
      <c r="G199" s="10"/>
      <c r="H199" s="628"/>
      <c r="I199" s="628"/>
      <c r="J199" s="647" t="s">
        <v>942</v>
      </c>
      <c r="K199" s="628"/>
      <c r="L199" s="628"/>
      <c r="M199" s="628"/>
    </row>
    <row r="200" spans="1:25" ht="15.6">
      <c r="B200" s="975" t="s">
        <v>983</v>
      </c>
      <c r="C200" s="975"/>
      <c r="D200" s="975"/>
      <c r="E200" s="975"/>
      <c r="F200" s="975"/>
      <c r="G200" s="975"/>
      <c r="H200" s="975"/>
      <c r="I200" s="975"/>
      <c r="J200" s="975"/>
      <c r="K200" s="975"/>
      <c r="L200" s="975"/>
      <c r="M200" s="975"/>
      <c r="N200" s="975"/>
      <c r="O200" s="975"/>
    </row>
    <row r="201" spans="1:25">
      <c r="B201" s="976" t="str">
        <f>$B$2</f>
        <v>(For Rate Year Beginning April 1, 2026, Based on December 31, 2025 Data)</v>
      </c>
      <c r="C201" s="976"/>
      <c r="D201" s="976"/>
      <c r="E201" s="976"/>
      <c r="F201" s="976"/>
      <c r="G201" s="976"/>
      <c r="H201" s="976"/>
      <c r="I201" s="976"/>
      <c r="J201" s="976"/>
      <c r="K201" s="976"/>
      <c r="L201" s="976"/>
      <c r="M201" s="976"/>
      <c r="N201" s="976"/>
      <c r="O201" s="976"/>
    </row>
    <row r="203" spans="1:25" ht="15.6">
      <c r="A203" s="1157" t="s">
        <v>986</v>
      </c>
      <c r="B203" s="1158"/>
      <c r="C203" s="1158"/>
      <c r="D203" s="1158"/>
      <c r="E203" s="1158"/>
      <c r="F203" s="1158"/>
      <c r="P203" s="10"/>
    </row>
    <row r="204" spans="1:25">
      <c r="P204" s="10"/>
    </row>
    <row r="205" spans="1:25" ht="15.6">
      <c r="B205" s="6" t="s">
        <v>926</v>
      </c>
      <c r="P205" s="5"/>
      <c r="Q205" s="5"/>
      <c r="R205" s="5"/>
      <c r="S205" s="5"/>
      <c r="T205" s="5"/>
    </row>
    <row r="206" spans="1:25" ht="12.75" customHeight="1">
      <c r="B206" s="6" t="s">
        <v>927</v>
      </c>
      <c r="P206" s="10"/>
      <c r="Q206" s="10"/>
      <c r="R206" s="10"/>
      <c r="S206" s="10"/>
      <c r="T206" s="10"/>
    </row>
    <row r="207" spans="1:25" ht="12.75" customHeight="1">
      <c r="B207" s="6" t="s">
        <v>972</v>
      </c>
    </row>
    <row r="208" spans="1:25" ht="12.75" customHeight="1">
      <c r="B208" s="6" t="s">
        <v>954</v>
      </c>
    </row>
    <row r="210" spans="1:25">
      <c r="A210" s="1130" t="s">
        <v>244</v>
      </c>
      <c r="B210" s="978"/>
    </row>
    <row r="211" spans="1:25" ht="6" customHeight="1" thickBot="1">
      <c r="A211" s="1131"/>
      <c r="B211" s="1131"/>
    </row>
    <row r="212" spans="1:25" ht="15.6" thickBot="1">
      <c r="A212" s="1128" t="s">
        <v>521</v>
      </c>
      <c r="B212" s="1129"/>
      <c r="C212" s="1149" t="s">
        <v>930</v>
      </c>
      <c r="D212" s="1150"/>
      <c r="E212" s="1151"/>
      <c r="F212" s="1151"/>
      <c r="G212" s="1151"/>
      <c r="H212" s="1151"/>
      <c r="I212" s="1151"/>
      <c r="J212" s="1151"/>
      <c r="K212" s="1151"/>
      <c r="L212" s="1152"/>
      <c r="M212" s="628"/>
      <c r="O212" s="633"/>
    </row>
    <row r="213" spans="1:25" ht="15.6" thickBot="1">
      <c r="A213" s="1131"/>
      <c r="B213" s="1162"/>
      <c r="C213" s="634"/>
      <c r="D213" s="628"/>
      <c r="E213" s="628"/>
      <c r="F213" s="1153" t="s">
        <v>177</v>
      </c>
      <c r="G213" s="1154"/>
      <c r="H213" s="628"/>
      <c r="I213" s="628"/>
      <c r="J213" s="628"/>
      <c r="K213" s="628"/>
      <c r="L213" s="635" t="s">
        <v>178</v>
      </c>
      <c r="M213" s="642"/>
      <c r="O213" s="633"/>
      <c r="U213" s="633"/>
    </row>
    <row r="214" spans="1:25">
      <c r="A214" s="1128" t="s">
        <v>518</v>
      </c>
      <c r="B214" s="1129"/>
      <c r="C214" s="1155" t="s">
        <v>931</v>
      </c>
      <c r="D214" s="1156"/>
      <c r="E214" s="1156"/>
      <c r="F214" s="1159"/>
      <c r="G214" s="1160"/>
      <c r="H214" s="1161"/>
      <c r="I214" s="1156"/>
      <c r="J214" s="1156"/>
      <c r="K214" s="1156"/>
      <c r="L214" s="636"/>
      <c r="M214" s="721"/>
    </row>
    <row r="215" spans="1:25">
      <c r="A215" s="1128" t="s">
        <v>515</v>
      </c>
      <c r="B215" s="1129"/>
      <c r="C215" s="1145" t="s">
        <v>932</v>
      </c>
      <c r="D215" s="1146"/>
      <c r="E215" s="1146"/>
      <c r="F215" s="1133"/>
      <c r="G215" s="1134"/>
      <c r="H215" s="1148" t="s">
        <v>933</v>
      </c>
      <c r="I215" s="1146"/>
      <c r="J215" s="1146"/>
      <c r="K215" s="1146"/>
      <c r="L215" s="671">
        <v>0</v>
      </c>
      <c r="M215" s="724"/>
    </row>
    <row r="216" spans="1:25">
      <c r="A216" s="1128" t="s">
        <v>512</v>
      </c>
      <c r="B216" s="1129"/>
      <c r="C216" s="1145" t="s">
        <v>934</v>
      </c>
      <c r="D216" s="1146"/>
      <c r="E216" s="1146"/>
      <c r="F216" s="1147"/>
      <c r="G216" s="1134"/>
      <c r="H216" s="1148" t="s">
        <v>1632</v>
      </c>
      <c r="I216" s="1146"/>
      <c r="J216" s="1146"/>
      <c r="K216" s="1146"/>
      <c r="L216" s="674">
        <f>L215*L255</f>
        <v>0</v>
      </c>
      <c r="M216" s="722"/>
    </row>
    <row r="217" spans="1:25" ht="15.6" thickBot="1">
      <c r="A217" s="1128" t="s">
        <v>510</v>
      </c>
      <c r="B217" s="978"/>
      <c r="C217" s="1145" t="s">
        <v>935</v>
      </c>
      <c r="D217" s="1146"/>
      <c r="E217" s="1146"/>
      <c r="F217" s="1133"/>
      <c r="G217" s="1134"/>
      <c r="H217" s="1148"/>
      <c r="I217" s="1146"/>
      <c r="J217" s="1146"/>
      <c r="K217" s="1146"/>
      <c r="L217" s="664"/>
      <c r="M217" s="723"/>
    </row>
    <row r="218" spans="1:25" ht="15" customHeight="1">
      <c r="A218" s="1128" t="s">
        <v>96</v>
      </c>
      <c r="B218" s="978"/>
      <c r="C218" s="246" t="s">
        <v>1620</v>
      </c>
      <c r="D218" s="665"/>
      <c r="E218" s="665"/>
      <c r="F218" s="665"/>
      <c r="G218" s="665"/>
      <c r="H218" s="665"/>
      <c r="I218" s="665"/>
      <c r="J218" s="665"/>
      <c r="K218" s="665"/>
      <c r="L218" s="676">
        <f>+'11 - Facilities'!N112</f>
        <v>0</v>
      </c>
      <c r="X218" s="8"/>
      <c r="Y218" s="637"/>
    </row>
    <row r="219" spans="1:25">
      <c r="A219" s="1128" t="s">
        <v>95</v>
      </c>
      <c r="B219" s="978"/>
      <c r="C219" s="234" t="s">
        <v>956</v>
      </c>
      <c r="D219" s="628"/>
      <c r="E219" s="628"/>
      <c r="F219" s="628"/>
      <c r="G219" s="663"/>
      <c r="H219" s="628"/>
      <c r="I219" s="628"/>
      <c r="J219" s="628"/>
      <c r="K219" s="628"/>
      <c r="L219" s="673">
        <f>Inputs!$D$112</f>
        <v>85279144.388324827</v>
      </c>
      <c r="X219" s="8"/>
      <c r="Y219" s="637"/>
    </row>
    <row r="220" spans="1:25">
      <c r="A220" s="1128" t="s">
        <v>93</v>
      </c>
      <c r="B220" s="978"/>
      <c r="C220" s="234" t="s">
        <v>957</v>
      </c>
      <c r="D220" s="628"/>
      <c r="E220" s="628"/>
      <c r="F220" s="628"/>
      <c r="G220" s="663"/>
      <c r="H220" s="628"/>
      <c r="I220" s="628"/>
      <c r="J220" s="628"/>
      <c r="K220" s="628"/>
      <c r="L220" s="673">
        <f>Inputs!$D$113</f>
        <v>35519691.656922147</v>
      </c>
      <c r="X220" s="8"/>
      <c r="Y220" s="637"/>
    </row>
    <row r="221" spans="1:25" ht="15" customHeight="1">
      <c r="A221" s="1128" t="s">
        <v>92</v>
      </c>
      <c r="B221" s="978"/>
      <c r="C221" s="661" t="s">
        <v>975</v>
      </c>
      <c r="D221" s="628"/>
      <c r="E221" s="628"/>
      <c r="F221" s="628"/>
      <c r="G221" s="663"/>
      <c r="H221" s="628"/>
      <c r="I221" s="628"/>
      <c r="J221" s="628"/>
      <c r="K221" s="628"/>
      <c r="L221" s="673">
        <f>L219-L220</f>
        <v>49759452.73140268</v>
      </c>
      <c r="X221" s="8"/>
      <c r="Y221" s="637"/>
    </row>
    <row r="222" spans="1:25">
      <c r="A222" s="1128" t="s">
        <v>107</v>
      </c>
      <c r="B222" s="978"/>
      <c r="C222" s="661" t="s">
        <v>976</v>
      </c>
      <c r="D222" s="628"/>
      <c r="E222" s="628"/>
      <c r="F222" s="628"/>
      <c r="G222" s="663"/>
      <c r="H222" s="628"/>
      <c r="I222" s="628"/>
      <c r="J222" s="628"/>
      <c r="K222" s="628"/>
      <c r="L222" s="677">
        <f>L218/L221</f>
        <v>0</v>
      </c>
      <c r="X222" s="8"/>
      <c r="Y222" s="637"/>
    </row>
    <row r="223" spans="1:25">
      <c r="A223" s="1128" t="s">
        <v>105</v>
      </c>
      <c r="B223" s="978"/>
      <c r="C223" s="661"/>
      <c r="D223" s="628"/>
      <c r="E223" s="628"/>
      <c r="F223" s="628"/>
      <c r="G223" s="663"/>
      <c r="H223" s="628"/>
      <c r="I223" s="628"/>
      <c r="J223" s="628"/>
      <c r="K223" s="628"/>
      <c r="L223" s="677"/>
      <c r="X223" s="8"/>
      <c r="Y223" s="637"/>
    </row>
    <row r="224" spans="1:25" ht="15.6">
      <c r="A224" s="1128" t="s">
        <v>104</v>
      </c>
      <c r="B224" s="978"/>
      <c r="C224" s="666" t="s">
        <v>967</v>
      </c>
      <c r="D224" s="628"/>
      <c r="E224" s="628"/>
      <c r="F224" s="628"/>
      <c r="G224" s="663"/>
      <c r="H224" s="628"/>
      <c r="I224" s="628"/>
      <c r="J224" s="628"/>
      <c r="K224" s="628"/>
      <c r="L224" s="677"/>
      <c r="X224" s="8"/>
      <c r="Y224" s="637"/>
    </row>
    <row r="225" spans="1:25">
      <c r="A225" s="1128" t="s">
        <v>103</v>
      </c>
      <c r="B225" s="978"/>
      <c r="C225" s="661" t="s">
        <v>1622</v>
      </c>
      <c r="D225" s="628"/>
      <c r="E225" s="628"/>
      <c r="F225" s="628"/>
      <c r="G225" s="663"/>
      <c r="H225" s="628"/>
      <c r="I225" s="628"/>
      <c r="J225" s="628"/>
      <c r="K225" s="628"/>
      <c r="L225" s="673">
        <f>+AppendixA!$H$48-AppendixA!$H$62</f>
        <v>701728.60760892951</v>
      </c>
      <c r="X225" s="8"/>
      <c r="Y225" s="637"/>
    </row>
    <row r="226" spans="1:25">
      <c r="A226" s="1128" t="s">
        <v>727</v>
      </c>
      <c r="B226" s="978"/>
      <c r="C226" s="661" t="s">
        <v>1623</v>
      </c>
      <c r="D226" s="628"/>
      <c r="E226" s="628"/>
      <c r="F226" s="628"/>
      <c r="G226" s="663"/>
      <c r="H226" s="628"/>
      <c r="I226" s="628"/>
      <c r="J226" s="628"/>
      <c r="K226" s="628"/>
      <c r="L226" s="673">
        <f>+L225*L222</f>
        <v>0</v>
      </c>
      <c r="X226" s="8"/>
      <c r="Y226" s="637"/>
    </row>
    <row r="227" spans="1:25">
      <c r="A227" s="1128" t="s">
        <v>728</v>
      </c>
      <c r="B227" s="978"/>
      <c r="C227" s="880"/>
      <c r="D227" s="628"/>
      <c r="E227" s="628"/>
      <c r="F227" s="628"/>
      <c r="G227" s="663"/>
      <c r="H227" s="628"/>
      <c r="I227" s="628"/>
      <c r="J227" s="628"/>
      <c r="K227" s="628"/>
      <c r="L227" s="890"/>
      <c r="X227" s="8"/>
      <c r="Y227" s="637"/>
    </row>
    <row r="228" spans="1:25" ht="15.6">
      <c r="A228" s="1128" t="s">
        <v>745</v>
      </c>
      <c r="B228" s="1132"/>
      <c r="C228" s="666" t="s">
        <v>1644</v>
      </c>
      <c r="D228" s="628"/>
      <c r="E228" s="628"/>
      <c r="F228" s="628"/>
      <c r="G228" s="663"/>
      <c r="H228" s="628"/>
      <c r="I228" s="628"/>
      <c r="J228" s="628"/>
      <c r="K228" s="628"/>
      <c r="L228" s="664"/>
      <c r="X228" s="8"/>
      <c r="Y228" s="637"/>
    </row>
    <row r="229" spans="1:25">
      <c r="A229" s="1128" t="s">
        <v>746</v>
      </c>
      <c r="B229" s="1132"/>
      <c r="C229" s="661" t="s">
        <v>958</v>
      </c>
      <c r="D229" s="628"/>
      <c r="E229" s="628"/>
      <c r="F229" s="628"/>
      <c r="G229" s="663"/>
      <c r="H229" s="628"/>
      <c r="I229" s="628"/>
      <c r="J229" s="628"/>
      <c r="K229" s="628"/>
      <c r="L229" s="673">
        <f>AppendixA!$H$95</f>
        <v>-5612988.9467919813</v>
      </c>
      <c r="X229" s="8"/>
      <c r="Y229" s="637"/>
    </row>
    <row r="230" spans="1:25">
      <c r="A230" s="1128" t="s">
        <v>747</v>
      </c>
      <c r="B230" s="1132"/>
      <c r="C230" s="661" t="s">
        <v>1655</v>
      </c>
      <c r="D230" s="628"/>
      <c r="E230" s="628"/>
      <c r="F230" s="628"/>
      <c r="G230" s="663"/>
      <c r="H230" s="628"/>
      <c r="I230" s="628"/>
      <c r="J230" s="628"/>
      <c r="K230" s="628"/>
      <c r="L230" s="673">
        <f>L229*L222</f>
        <v>0</v>
      </c>
      <c r="X230" s="8"/>
      <c r="Y230" s="637"/>
    </row>
    <row r="231" spans="1:25">
      <c r="A231" s="1128" t="s">
        <v>748</v>
      </c>
      <c r="B231" s="978"/>
      <c r="C231" s="661" t="s">
        <v>1656</v>
      </c>
      <c r="D231" s="628"/>
      <c r="E231" s="628"/>
      <c r="F231" s="628"/>
      <c r="G231" s="663"/>
      <c r="H231" s="628"/>
      <c r="I231" s="628"/>
      <c r="J231" s="628"/>
      <c r="K231" s="628"/>
      <c r="L231" s="673">
        <f>L218+L230+L226</f>
        <v>0</v>
      </c>
      <c r="X231" s="8"/>
      <c r="Y231" s="637"/>
    </row>
    <row r="232" spans="1:25">
      <c r="A232" s="1128" t="s">
        <v>749</v>
      </c>
      <c r="B232" s="978"/>
      <c r="C232" s="661" t="s">
        <v>959</v>
      </c>
      <c r="D232" s="628"/>
      <c r="E232" s="628"/>
      <c r="F232" s="628"/>
      <c r="G232" s="663"/>
      <c r="H232" s="628"/>
      <c r="I232" s="628"/>
      <c r="J232" s="628"/>
      <c r="K232" s="628"/>
      <c r="L232" s="677">
        <f>AppendixA!$H$182</f>
        <v>7.3603939048291073E-2</v>
      </c>
      <c r="X232" s="8"/>
      <c r="Y232" s="637"/>
    </row>
    <row r="233" spans="1:25">
      <c r="A233" s="1128" t="s">
        <v>750</v>
      </c>
      <c r="B233" s="978"/>
      <c r="C233" s="661" t="s">
        <v>1657</v>
      </c>
      <c r="D233" s="628"/>
      <c r="E233" s="628"/>
      <c r="F233" s="628"/>
      <c r="G233" s="663"/>
      <c r="H233" s="628"/>
      <c r="I233" s="628"/>
      <c r="J233" s="628"/>
      <c r="K233" s="628"/>
      <c r="L233" s="673">
        <f>L231*L232</f>
        <v>0</v>
      </c>
      <c r="X233" s="8"/>
      <c r="Y233" s="637"/>
    </row>
    <row r="234" spans="1:25">
      <c r="A234" s="878"/>
      <c r="B234" s="882" t="s">
        <v>751</v>
      </c>
      <c r="C234" s="661"/>
      <c r="D234" s="628"/>
      <c r="E234" s="628"/>
      <c r="F234" s="628"/>
      <c r="G234" s="663"/>
      <c r="H234" s="628"/>
      <c r="I234" s="628"/>
      <c r="J234" s="628"/>
      <c r="K234" s="628"/>
      <c r="L234" s="673"/>
      <c r="X234" s="8"/>
      <c r="Y234" s="637"/>
    </row>
    <row r="235" spans="1:25" ht="15.6">
      <c r="A235" s="1128" t="s">
        <v>936</v>
      </c>
      <c r="B235" s="978"/>
      <c r="C235" s="666" t="s">
        <v>1645</v>
      </c>
      <c r="D235" s="628"/>
      <c r="E235" s="628"/>
      <c r="F235" s="628"/>
      <c r="G235" s="663"/>
      <c r="H235" s="628"/>
      <c r="I235" s="628"/>
      <c r="J235" s="628"/>
      <c r="K235" s="628"/>
      <c r="L235" s="673"/>
      <c r="X235" s="8"/>
      <c r="Y235" s="637"/>
    </row>
    <row r="236" spans="1:25">
      <c r="A236" s="1128">
        <v>24</v>
      </c>
      <c r="B236" s="978"/>
      <c r="C236" s="661" t="s">
        <v>1647</v>
      </c>
      <c r="D236" s="628"/>
      <c r="E236" s="628"/>
      <c r="F236" s="628"/>
      <c r="G236" s="663"/>
      <c r="H236" s="628"/>
      <c r="I236" s="628"/>
      <c r="J236" s="628"/>
      <c r="K236" s="628"/>
      <c r="L236" s="673">
        <f>+AppendixA!$H$141</f>
        <v>62220.916888344676</v>
      </c>
      <c r="X236" s="8"/>
      <c r="Y236" s="637"/>
    </row>
    <row r="237" spans="1:25">
      <c r="A237" s="1128" t="s">
        <v>937</v>
      </c>
      <c r="B237" s="978"/>
      <c r="C237" s="885"/>
      <c r="D237" s="886"/>
      <c r="E237" s="886"/>
      <c r="F237" s="886"/>
      <c r="G237" s="887"/>
      <c r="H237" s="886"/>
      <c r="I237" s="886"/>
      <c r="J237" s="886"/>
      <c r="K237" s="886"/>
      <c r="L237" s="888"/>
      <c r="X237" s="8"/>
      <c r="Y237" s="637"/>
    </row>
    <row r="238" spans="1:25">
      <c r="A238" s="1128" t="s">
        <v>938</v>
      </c>
      <c r="B238" s="978"/>
      <c r="C238" s="661" t="s">
        <v>1646</v>
      </c>
      <c r="D238" s="628"/>
      <c r="E238" s="628"/>
      <c r="F238" s="628"/>
      <c r="G238" s="663"/>
      <c r="H238" s="628"/>
      <c r="I238" s="628"/>
      <c r="J238" s="628"/>
      <c r="K238" s="628"/>
      <c r="L238" s="673">
        <f>+L236*L222</f>
        <v>0</v>
      </c>
      <c r="X238" s="8"/>
      <c r="Y238" s="637"/>
    </row>
    <row r="239" spans="1:25">
      <c r="A239" s="1128" t="s">
        <v>939</v>
      </c>
      <c r="B239" s="978"/>
      <c r="C239" s="661"/>
      <c r="D239" s="628"/>
      <c r="E239" s="628"/>
      <c r="F239" s="628"/>
      <c r="G239" s="663"/>
      <c r="H239" s="628"/>
      <c r="I239" s="628"/>
      <c r="J239" s="628"/>
      <c r="K239" s="628"/>
      <c r="L239" s="664"/>
      <c r="X239" s="8"/>
      <c r="Y239" s="637"/>
    </row>
    <row r="240" spans="1:25" ht="15.6">
      <c r="A240" s="1128" t="s">
        <v>940</v>
      </c>
      <c r="B240" s="978"/>
      <c r="C240" s="666" t="s">
        <v>960</v>
      </c>
      <c r="D240" s="628"/>
      <c r="E240" s="628"/>
      <c r="F240" s="628"/>
      <c r="G240" s="663"/>
      <c r="H240" s="628"/>
      <c r="I240" s="628"/>
      <c r="J240" s="628"/>
      <c r="K240" s="628"/>
      <c r="L240" s="664"/>
      <c r="X240" s="8"/>
      <c r="Y240" s="637"/>
    </row>
    <row r="241" spans="1:25">
      <c r="A241" s="1128" t="s">
        <v>968</v>
      </c>
      <c r="B241" s="978"/>
      <c r="C241" s="661" t="s">
        <v>961</v>
      </c>
      <c r="D241" s="628"/>
      <c r="E241" s="628"/>
      <c r="F241" s="628"/>
      <c r="G241" s="663"/>
      <c r="H241" s="628"/>
      <c r="I241" s="628"/>
      <c r="J241" s="628"/>
      <c r="K241" s="628"/>
      <c r="L241" s="673">
        <f>AppendixA!$H$130</f>
        <v>1172367.8913758555</v>
      </c>
      <c r="X241" s="8"/>
      <c r="Y241" s="637"/>
    </row>
    <row r="242" spans="1:25">
      <c r="A242" s="1128" t="s">
        <v>969</v>
      </c>
      <c r="B242" s="978"/>
      <c r="C242" s="661" t="s">
        <v>1658</v>
      </c>
      <c r="D242" s="628"/>
      <c r="E242" s="628"/>
      <c r="F242" s="628"/>
      <c r="G242" s="663"/>
      <c r="H242" s="628"/>
      <c r="I242" s="628"/>
      <c r="J242" s="628"/>
      <c r="K242" s="628"/>
      <c r="L242" s="673">
        <f>L222*L241</f>
        <v>0</v>
      </c>
      <c r="X242" s="8"/>
      <c r="Y242" s="637"/>
    </row>
    <row r="243" spans="1:25">
      <c r="A243" s="1128" t="s">
        <v>970</v>
      </c>
      <c r="B243" s="978"/>
      <c r="C243" s="661"/>
      <c r="D243" s="628"/>
      <c r="E243" s="628"/>
      <c r="F243" s="628"/>
      <c r="G243" s="663"/>
      <c r="H243" s="628"/>
      <c r="I243" s="628"/>
      <c r="J243" s="628"/>
      <c r="K243" s="628"/>
      <c r="L243" s="664"/>
      <c r="X243" s="8"/>
      <c r="Y243" s="637"/>
    </row>
    <row r="244" spans="1:25" ht="15.6">
      <c r="A244" s="1128" t="s">
        <v>971</v>
      </c>
      <c r="B244" s="978"/>
      <c r="C244" s="666" t="s">
        <v>1621</v>
      </c>
      <c r="D244" s="628"/>
      <c r="E244" s="628"/>
      <c r="F244" s="628"/>
      <c r="G244" s="663"/>
      <c r="H244" s="628"/>
      <c r="I244" s="628"/>
      <c r="J244" s="628"/>
      <c r="K244" s="628"/>
      <c r="L244" s="664"/>
      <c r="X244" s="8"/>
      <c r="Y244" s="637"/>
    </row>
    <row r="245" spans="1:25">
      <c r="A245" s="1128" t="s">
        <v>1633</v>
      </c>
      <c r="B245" s="978"/>
      <c r="C245" s="661" t="s">
        <v>1648</v>
      </c>
      <c r="D245" s="628"/>
      <c r="E245" s="628"/>
      <c r="F245" s="628"/>
      <c r="G245" s="663"/>
      <c r="H245" s="628"/>
      <c r="I245" s="628"/>
      <c r="J245" s="628"/>
      <c r="K245" s="628"/>
      <c r="L245" s="675">
        <f>+'11 - Facilities'!O112</f>
        <v>0</v>
      </c>
      <c r="X245" s="8"/>
      <c r="Y245" s="637"/>
    </row>
    <row r="246" spans="1:25">
      <c r="A246" s="1128" t="s">
        <v>1624</v>
      </c>
      <c r="B246" s="978"/>
      <c r="C246" s="661"/>
      <c r="D246" s="628"/>
      <c r="E246" s="628"/>
      <c r="F246" s="628"/>
      <c r="G246" s="663"/>
      <c r="H246" s="628"/>
      <c r="I246" s="628"/>
      <c r="J246" s="628"/>
      <c r="K246" s="628"/>
      <c r="L246" s="673"/>
      <c r="X246" s="8"/>
      <c r="Y246" s="637"/>
    </row>
    <row r="247" spans="1:25" ht="15.6">
      <c r="A247" s="1128" t="s">
        <v>1625</v>
      </c>
      <c r="B247" s="1132"/>
      <c r="C247" s="666" t="s">
        <v>962</v>
      </c>
      <c r="D247" s="628"/>
      <c r="E247" s="628"/>
      <c r="F247" s="628"/>
      <c r="G247" s="663"/>
      <c r="H247" s="628"/>
      <c r="I247" s="628"/>
      <c r="J247" s="628"/>
      <c r="K247" s="628"/>
      <c r="L247" s="673"/>
      <c r="X247" s="8"/>
      <c r="Y247" s="637"/>
    </row>
    <row r="248" spans="1:25">
      <c r="A248" s="1128" t="s">
        <v>1634</v>
      </c>
      <c r="B248" s="978"/>
      <c r="C248" s="661" t="s">
        <v>963</v>
      </c>
      <c r="D248" s="628"/>
      <c r="E248" s="628"/>
      <c r="F248" s="628"/>
      <c r="G248" s="663"/>
      <c r="H248" s="628"/>
      <c r="I248" s="628"/>
      <c r="J248" s="628"/>
      <c r="K248" s="628"/>
      <c r="L248" s="673">
        <f>AppendixA!$H$149</f>
        <v>420701.86116179236</v>
      </c>
      <c r="X248" s="8"/>
      <c r="Y248" s="637"/>
    </row>
    <row r="249" spans="1:25">
      <c r="A249" s="1128" t="s">
        <v>1635</v>
      </c>
      <c r="B249" s="978"/>
      <c r="C249" s="661" t="s">
        <v>1649</v>
      </c>
      <c r="D249" s="628"/>
      <c r="E249" s="628"/>
      <c r="F249" s="628"/>
      <c r="G249" s="663"/>
      <c r="H249" s="883"/>
      <c r="I249" s="628"/>
      <c r="J249" s="628"/>
      <c r="K249" s="628"/>
      <c r="L249" s="673">
        <f>L222*L248</f>
        <v>0</v>
      </c>
      <c r="X249" s="8"/>
      <c r="Y249" s="637"/>
    </row>
    <row r="250" spans="1:25">
      <c r="A250" s="1128" t="s">
        <v>1626</v>
      </c>
      <c r="B250" s="978"/>
      <c r="C250" s="661"/>
      <c r="D250" s="628"/>
      <c r="E250" s="628"/>
      <c r="F250" s="628"/>
      <c r="G250" s="663"/>
      <c r="H250" s="628"/>
      <c r="I250" s="628"/>
      <c r="J250" s="628"/>
      <c r="K250" s="628"/>
      <c r="L250" s="673"/>
      <c r="X250" s="8"/>
      <c r="Y250" s="637"/>
    </row>
    <row r="251" spans="1:25" ht="15.6">
      <c r="A251" s="1128" t="s">
        <v>1627</v>
      </c>
      <c r="B251" s="1132"/>
      <c r="C251" s="666" t="s">
        <v>964</v>
      </c>
      <c r="D251" s="628"/>
      <c r="E251" s="628"/>
      <c r="F251" s="628"/>
      <c r="G251" s="663"/>
      <c r="H251" s="628"/>
      <c r="I251" s="628"/>
      <c r="J251" s="628"/>
      <c r="K251" s="628"/>
      <c r="L251" s="673"/>
      <c r="X251" s="8"/>
      <c r="Y251" s="637"/>
    </row>
    <row r="252" spans="1:25">
      <c r="A252" s="1128" t="s">
        <v>1636</v>
      </c>
      <c r="B252" s="978"/>
      <c r="C252" s="661" t="s">
        <v>965</v>
      </c>
      <c r="D252" s="628"/>
      <c r="E252" s="628"/>
      <c r="F252" s="628"/>
      <c r="G252" s="663"/>
      <c r="H252" s="628"/>
      <c r="I252" s="628"/>
      <c r="J252" s="628"/>
      <c r="K252" s="628"/>
      <c r="L252" s="673">
        <f>AppendixA!$H$228</f>
        <v>524818.20552830724</v>
      </c>
      <c r="X252" s="8"/>
      <c r="Y252" s="637"/>
    </row>
    <row r="253" spans="1:25">
      <c r="A253" s="1128" t="s">
        <v>1637</v>
      </c>
      <c r="B253" s="978"/>
      <c r="C253" s="661" t="s">
        <v>1650</v>
      </c>
      <c r="D253" s="628"/>
      <c r="E253" s="628"/>
      <c r="F253" s="628"/>
      <c r="G253" s="663"/>
      <c r="H253" s="628"/>
      <c r="I253" s="628"/>
      <c r="J253" s="628"/>
      <c r="K253" s="628"/>
      <c r="L253" s="673">
        <f>L222*L252</f>
        <v>0</v>
      </c>
      <c r="X253" s="8"/>
      <c r="Y253" s="637"/>
    </row>
    <row r="254" spans="1:25">
      <c r="A254" s="1128" t="s">
        <v>1628</v>
      </c>
      <c r="B254" s="1132"/>
      <c r="C254" s="661"/>
      <c r="D254" s="628"/>
      <c r="E254" s="628"/>
      <c r="F254" s="628"/>
      <c r="G254" s="663"/>
      <c r="H254" s="628"/>
      <c r="I254" s="628"/>
      <c r="J254" s="628"/>
      <c r="K254" s="628"/>
      <c r="L254" s="673"/>
      <c r="X254" s="8"/>
      <c r="Y254" s="637"/>
    </row>
    <row r="255" spans="1:25" ht="15.6">
      <c r="A255" s="1128" t="s">
        <v>1638</v>
      </c>
      <c r="B255" s="978"/>
      <c r="C255" s="666" t="s">
        <v>1651</v>
      </c>
      <c r="D255" s="883"/>
      <c r="E255" s="883"/>
      <c r="F255" s="889"/>
      <c r="G255" s="884"/>
      <c r="H255" s="883"/>
      <c r="I255" s="883"/>
      <c r="J255" s="883"/>
      <c r="K255" s="628"/>
      <c r="L255" s="673">
        <f>L233+L242+L245+L249+L253+L238</f>
        <v>0</v>
      </c>
      <c r="X255" s="8"/>
      <c r="Y255" s="637"/>
    </row>
    <row r="256" spans="1:25" ht="15.6">
      <c r="A256" s="1128" t="s">
        <v>1629</v>
      </c>
      <c r="B256" s="1132"/>
      <c r="C256" s="666"/>
      <c r="D256" s="628"/>
      <c r="E256" s="628"/>
      <c r="F256" s="662"/>
      <c r="G256" s="663"/>
      <c r="H256" s="628"/>
      <c r="I256" s="628"/>
      <c r="J256" s="628"/>
      <c r="K256" s="628"/>
      <c r="L256" s="664"/>
      <c r="X256" s="8"/>
      <c r="Y256" s="637"/>
    </row>
    <row r="257" spans="1:25">
      <c r="A257" s="1128" t="s">
        <v>1639</v>
      </c>
      <c r="B257" s="978"/>
      <c r="C257" s="661" t="s">
        <v>928</v>
      </c>
      <c r="D257" s="628"/>
      <c r="E257" s="628"/>
      <c r="F257" s="662"/>
      <c r="G257" s="663"/>
      <c r="H257" s="628"/>
      <c r="I257" s="628"/>
      <c r="J257" s="628"/>
      <c r="K257" s="628"/>
      <c r="L257" s="682">
        <f>AppendixA!$H$212</f>
        <v>0.2658227848101265</v>
      </c>
      <c r="X257" s="8"/>
      <c r="Y257" s="637"/>
    </row>
    <row r="258" spans="1:25">
      <c r="A258" s="1128" t="s">
        <v>1640</v>
      </c>
      <c r="B258" s="978"/>
      <c r="C258" s="661" t="s">
        <v>929</v>
      </c>
      <c r="D258" s="628"/>
      <c r="E258" s="628"/>
      <c r="F258" s="662"/>
      <c r="G258" s="663"/>
      <c r="H258" s="628"/>
      <c r="I258" s="628"/>
      <c r="J258" s="628"/>
      <c r="K258" s="628"/>
      <c r="L258" s="677">
        <f>'6-WACC'!$G$16</f>
        <v>0.50515815125064667</v>
      </c>
      <c r="X258" s="8"/>
      <c r="Y258" s="637"/>
    </row>
    <row r="259" spans="1:25">
      <c r="A259" s="1128" t="s">
        <v>1641</v>
      </c>
      <c r="B259" s="978"/>
      <c r="C259" s="661" t="s">
        <v>1659</v>
      </c>
      <c r="D259" s="628"/>
      <c r="E259" s="628"/>
      <c r="F259" s="662"/>
      <c r="G259" s="663"/>
      <c r="H259" s="628"/>
      <c r="I259" s="628"/>
      <c r="J259" s="628"/>
      <c r="K259" s="628"/>
      <c r="L259" s="677">
        <f>((0.01/L257)*L258*100)</f>
        <v>1.9003568547048142</v>
      </c>
      <c r="X259" s="8"/>
      <c r="Y259" s="637"/>
    </row>
    <row r="260" spans="1:25">
      <c r="A260" s="1128" t="s">
        <v>1642</v>
      </c>
      <c r="B260" s="978"/>
      <c r="C260" s="661" t="s">
        <v>1660</v>
      </c>
      <c r="D260" s="628"/>
      <c r="E260" s="628"/>
      <c r="F260" s="662"/>
      <c r="G260" s="663"/>
      <c r="H260" s="628"/>
      <c r="I260" s="628"/>
      <c r="J260" s="628"/>
      <c r="K260" s="628"/>
      <c r="L260" s="673">
        <f>L216*L231</f>
        <v>0</v>
      </c>
      <c r="X260" s="8"/>
      <c r="Y260" s="637"/>
    </row>
    <row r="261" spans="1:25" ht="15.6">
      <c r="A261" s="1128" t="s">
        <v>1630</v>
      </c>
      <c r="B261" s="1132"/>
      <c r="C261" s="666"/>
      <c r="D261" s="628"/>
      <c r="E261" s="628"/>
      <c r="F261" s="662"/>
      <c r="G261" s="663"/>
      <c r="H261" s="628"/>
      <c r="I261" s="628"/>
      <c r="J261" s="628"/>
      <c r="K261" s="628"/>
      <c r="L261" s="673"/>
      <c r="X261" s="8"/>
      <c r="Y261" s="637"/>
    </row>
    <row r="262" spans="1:25" ht="15.6">
      <c r="A262" s="1128" t="s">
        <v>1643</v>
      </c>
      <c r="B262" s="978"/>
      <c r="C262" s="666" t="s">
        <v>1661</v>
      </c>
      <c r="D262" s="628"/>
      <c r="E262" s="628"/>
      <c r="F262" s="662"/>
      <c r="G262" s="663"/>
      <c r="H262" s="628"/>
      <c r="I262" s="628"/>
      <c r="J262" s="628"/>
      <c r="K262" s="628"/>
      <c r="L262" s="673">
        <f>L255+L260</f>
        <v>0</v>
      </c>
      <c r="X262" s="8"/>
      <c r="Y262" s="637"/>
    </row>
    <row r="263" spans="1:25" ht="15.6" thickBot="1">
      <c r="A263" s="1128"/>
      <c r="B263" s="1132"/>
      <c r="C263" s="667"/>
      <c r="D263" s="668"/>
      <c r="E263" s="668"/>
      <c r="F263" s="669"/>
      <c r="G263" s="670"/>
      <c r="H263" s="668"/>
      <c r="I263" s="668"/>
      <c r="J263" s="668"/>
      <c r="K263" s="668"/>
      <c r="L263" s="678"/>
      <c r="X263" s="8"/>
      <c r="Y263" s="637"/>
    </row>
    <row r="264" spans="1:25">
      <c r="A264" s="672"/>
      <c r="B264" s="672"/>
      <c r="C264" s="642"/>
      <c r="D264" s="628"/>
      <c r="E264" s="641"/>
      <c r="F264" s="628"/>
      <c r="G264" s="641"/>
      <c r="H264" s="628"/>
      <c r="I264" s="638"/>
      <c r="J264" s="638"/>
      <c r="K264" s="639"/>
      <c r="L264" s="638"/>
      <c r="W264" s="222"/>
      <c r="X264" s="222"/>
      <c r="Y264" s="222"/>
    </row>
    <row r="265" spans="1:25">
      <c r="A265" s="8" t="s">
        <v>941</v>
      </c>
      <c r="B265" s="8"/>
      <c r="C265" s="8"/>
      <c r="D265" s="8"/>
      <c r="E265" s="8"/>
      <c r="F265" s="8"/>
      <c r="G265" s="8"/>
      <c r="H265" s="8"/>
      <c r="I265" s="8"/>
      <c r="J265" s="8"/>
      <c r="K265" s="8"/>
      <c r="L265" s="8"/>
      <c r="M265" s="8"/>
      <c r="N265" s="640"/>
      <c r="O265" s="10"/>
      <c r="P265" s="222"/>
      <c r="Q265" s="222"/>
      <c r="R265" s="222"/>
      <c r="S265" s="222"/>
      <c r="T265" s="222"/>
      <c r="U265" s="10"/>
      <c r="V265" s="222"/>
      <c r="W265" s="222"/>
      <c r="X265" s="222"/>
      <c r="Y265" s="222"/>
    </row>
    <row r="266" spans="1:25">
      <c r="B266" s="10" t="s">
        <v>441</v>
      </c>
      <c r="C266" s="628"/>
      <c r="D266" s="628"/>
      <c r="E266" s="628"/>
      <c r="F266" s="628"/>
      <c r="G266" s="628"/>
      <c r="H266" s="628"/>
      <c r="I266" s="628"/>
      <c r="J266" s="628"/>
      <c r="K266" s="628"/>
      <c r="L266" s="628"/>
      <c r="M266" s="628"/>
      <c r="N266" s="640"/>
      <c r="O266" s="10"/>
      <c r="P266" s="222"/>
      <c r="Q266" s="222"/>
      <c r="R266" s="222"/>
      <c r="S266" s="222"/>
      <c r="T266" s="222"/>
      <c r="U266" s="10"/>
      <c r="V266" s="222"/>
      <c r="W266" s="222"/>
      <c r="X266" s="222"/>
      <c r="Y266" s="222"/>
    </row>
    <row r="267" spans="1:25">
      <c r="C267" s="628"/>
      <c r="D267" s="628"/>
      <c r="E267" s="628"/>
      <c r="F267" s="628"/>
      <c r="G267" s="10"/>
      <c r="H267" s="628"/>
      <c r="I267" s="628"/>
      <c r="J267" s="10" t="s">
        <v>917</v>
      </c>
      <c r="K267" s="628"/>
      <c r="L267" s="628"/>
      <c r="M267" s="628"/>
    </row>
    <row r="268" spans="1:25">
      <c r="C268" s="628"/>
      <c r="D268" s="628"/>
      <c r="E268" s="628"/>
      <c r="F268" s="628"/>
      <c r="G268" s="10"/>
      <c r="H268" s="628"/>
      <c r="I268" s="628"/>
      <c r="J268" s="647" t="s">
        <v>943</v>
      </c>
      <c r="K268" s="628"/>
      <c r="L268" s="628"/>
      <c r="M268" s="628"/>
    </row>
    <row r="269" spans="1:25" ht="15.6">
      <c r="B269" s="975" t="s">
        <v>983</v>
      </c>
      <c r="C269" s="975"/>
      <c r="D269" s="975"/>
      <c r="E269" s="975"/>
      <c r="F269" s="975"/>
      <c r="G269" s="975"/>
      <c r="H269" s="975"/>
      <c r="I269" s="975"/>
      <c r="J269" s="975"/>
      <c r="K269" s="975"/>
      <c r="L269" s="975"/>
      <c r="M269" s="975"/>
      <c r="N269" s="975"/>
      <c r="O269" s="975"/>
    </row>
    <row r="270" spans="1:25">
      <c r="B270" s="976" t="str">
        <f>$B$2</f>
        <v>(For Rate Year Beginning April 1, 2026, Based on December 31, 2025 Data)</v>
      </c>
      <c r="C270" s="976"/>
      <c r="D270" s="976"/>
      <c r="E270" s="976"/>
      <c r="F270" s="976"/>
      <c r="G270" s="976"/>
      <c r="H270" s="976"/>
      <c r="I270" s="976"/>
      <c r="J270" s="976"/>
      <c r="K270" s="976"/>
      <c r="L270" s="976"/>
      <c r="M270" s="976"/>
      <c r="N270" s="976"/>
      <c r="O270" s="976"/>
    </row>
    <row r="271" spans="1:25">
      <c r="P271" s="10"/>
    </row>
    <row r="272" spans="1:25" ht="15.6">
      <c r="A272" s="1157" t="s">
        <v>986</v>
      </c>
      <c r="B272" s="1158"/>
      <c r="C272" s="1158"/>
      <c r="D272" s="1158"/>
      <c r="E272" s="1158"/>
      <c r="F272" s="1158"/>
      <c r="P272" s="10"/>
    </row>
    <row r="274" spans="1:25">
      <c r="B274" s="6" t="s">
        <v>926</v>
      </c>
    </row>
    <row r="275" spans="1:25">
      <c r="B275" s="6" t="s">
        <v>927</v>
      </c>
    </row>
    <row r="276" spans="1:25">
      <c r="B276" s="6" t="s">
        <v>972</v>
      </c>
    </row>
    <row r="277" spans="1:25">
      <c r="B277" s="6" t="s">
        <v>954</v>
      </c>
    </row>
    <row r="279" spans="1:25">
      <c r="A279" s="1130" t="s">
        <v>244</v>
      </c>
      <c r="B279" s="978"/>
    </row>
    <row r="280" spans="1:25" ht="6" customHeight="1" thickBot="1">
      <c r="A280" s="1131"/>
      <c r="B280" s="1131"/>
    </row>
    <row r="281" spans="1:25" ht="15.6" thickBot="1">
      <c r="A281" s="1128" t="s">
        <v>521</v>
      </c>
      <c r="B281" s="1129"/>
      <c r="C281" s="1149" t="s">
        <v>930</v>
      </c>
      <c r="D281" s="1150"/>
      <c r="E281" s="1151"/>
      <c r="F281" s="1151"/>
      <c r="G281" s="1151"/>
      <c r="H281" s="1151"/>
      <c r="I281" s="1151"/>
      <c r="J281" s="1151"/>
      <c r="K281" s="1151"/>
      <c r="L281" s="1152"/>
      <c r="M281" s="628"/>
      <c r="O281" s="633"/>
    </row>
    <row r="282" spans="1:25" ht="15.6" thickBot="1">
      <c r="A282" s="1131"/>
      <c r="B282" s="1162"/>
      <c r="C282" s="634"/>
      <c r="D282" s="628"/>
      <c r="E282" s="628"/>
      <c r="F282" s="1153" t="s">
        <v>177</v>
      </c>
      <c r="G282" s="1154"/>
      <c r="H282" s="628"/>
      <c r="I282" s="628"/>
      <c r="J282" s="628"/>
      <c r="K282" s="628"/>
      <c r="L282" s="635" t="s">
        <v>178</v>
      </c>
      <c r="M282" s="642"/>
      <c r="O282" s="633"/>
    </row>
    <row r="283" spans="1:25">
      <c r="A283" s="1128" t="s">
        <v>518</v>
      </c>
      <c r="B283" s="1129"/>
      <c r="C283" s="1155" t="s">
        <v>931</v>
      </c>
      <c r="D283" s="1156"/>
      <c r="E283" s="1156"/>
      <c r="F283" s="1159"/>
      <c r="G283" s="1160"/>
      <c r="H283" s="1161"/>
      <c r="I283" s="1156"/>
      <c r="J283" s="1156"/>
      <c r="K283" s="1156"/>
      <c r="L283" s="636"/>
      <c r="M283" s="721"/>
    </row>
    <row r="284" spans="1:25">
      <c r="A284" s="1128" t="s">
        <v>515</v>
      </c>
      <c r="B284" s="1129"/>
      <c r="C284" s="1145" t="s">
        <v>932</v>
      </c>
      <c r="D284" s="1146"/>
      <c r="E284" s="1146"/>
      <c r="F284" s="1133"/>
      <c r="G284" s="1134"/>
      <c r="H284" s="1148" t="s">
        <v>933</v>
      </c>
      <c r="I284" s="1146"/>
      <c r="J284" s="1146"/>
      <c r="K284" s="1146"/>
      <c r="L284" s="671">
        <v>0</v>
      </c>
      <c r="M284" s="724"/>
    </row>
    <row r="285" spans="1:25">
      <c r="A285" s="1128" t="s">
        <v>512</v>
      </c>
      <c r="B285" s="1129"/>
      <c r="C285" s="1145" t="s">
        <v>934</v>
      </c>
      <c r="D285" s="1146"/>
      <c r="E285" s="1146"/>
      <c r="F285" s="1147"/>
      <c r="G285" s="1134"/>
      <c r="H285" s="1148" t="s">
        <v>1632</v>
      </c>
      <c r="I285" s="1146"/>
      <c r="J285" s="1146"/>
      <c r="K285" s="1146"/>
      <c r="L285" s="674">
        <f>L284*L324</f>
        <v>0</v>
      </c>
      <c r="M285" s="722"/>
      <c r="R285" s="633"/>
    </row>
    <row r="286" spans="1:25" ht="15.6" thickBot="1">
      <c r="A286" s="1128" t="s">
        <v>510</v>
      </c>
      <c r="B286" s="978"/>
      <c r="C286" s="1145" t="s">
        <v>935</v>
      </c>
      <c r="D286" s="1146"/>
      <c r="E286" s="1146"/>
      <c r="F286" s="1133"/>
      <c r="G286" s="1134"/>
      <c r="H286" s="1148"/>
      <c r="I286" s="1146"/>
      <c r="J286" s="1146"/>
      <c r="K286" s="1146"/>
      <c r="L286" s="664"/>
      <c r="M286" s="723"/>
    </row>
    <row r="287" spans="1:25" ht="15" customHeight="1">
      <c r="A287" s="1128" t="s">
        <v>96</v>
      </c>
      <c r="B287" s="978"/>
      <c r="C287" s="246" t="s">
        <v>1620</v>
      </c>
      <c r="D287" s="665"/>
      <c r="E287" s="665"/>
      <c r="F287" s="665"/>
      <c r="G287" s="665"/>
      <c r="H287" s="665"/>
      <c r="I287" s="665"/>
      <c r="J287" s="665"/>
      <c r="K287" s="665"/>
      <c r="L287" s="676">
        <f>+'11 - Facilities'!N181</f>
        <v>0</v>
      </c>
      <c r="X287" s="8"/>
      <c r="Y287" s="637"/>
    </row>
    <row r="288" spans="1:25">
      <c r="A288" s="1128" t="s">
        <v>95</v>
      </c>
      <c r="B288" s="978"/>
      <c r="C288" s="234" t="s">
        <v>956</v>
      </c>
      <c r="D288" s="628"/>
      <c r="E288" s="628"/>
      <c r="F288" s="628"/>
      <c r="G288" s="663"/>
      <c r="H288" s="628"/>
      <c r="I288" s="628"/>
      <c r="J288" s="628"/>
      <c r="K288" s="628"/>
      <c r="L288" s="673">
        <f>Inputs!$D$112</f>
        <v>85279144.388324827</v>
      </c>
      <c r="X288" s="8"/>
      <c r="Y288" s="637"/>
    </row>
    <row r="289" spans="1:25">
      <c r="A289" s="1128" t="s">
        <v>93</v>
      </c>
      <c r="B289" s="978"/>
      <c r="C289" s="234" t="s">
        <v>957</v>
      </c>
      <c r="D289" s="628"/>
      <c r="E289" s="628"/>
      <c r="F289" s="628"/>
      <c r="G289" s="663"/>
      <c r="H289" s="628"/>
      <c r="I289" s="628"/>
      <c r="J289" s="628"/>
      <c r="K289" s="628"/>
      <c r="L289" s="673">
        <f>Inputs!$D$113</f>
        <v>35519691.656922147</v>
      </c>
      <c r="X289" s="8"/>
      <c r="Y289" s="637"/>
    </row>
    <row r="290" spans="1:25" ht="15" customHeight="1">
      <c r="A290" s="1128" t="s">
        <v>92</v>
      </c>
      <c r="B290" s="978"/>
      <c r="C290" s="661" t="s">
        <v>975</v>
      </c>
      <c r="D290" s="628"/>
      <c r="E290" s="628"/>
      <c r="F290" s="628"/>
      <c r="G290" s="663"/>
      <c r="H290" s="628"/>
      <c r="I290" s="628"/>
      <c r="J290" s="628"/>
      <c r="K290" s="628"/>
      <c r="L290" s="673">
        <f>L288-L289</f>
        <v>49759452.73140268</v>
      </c>
      <c r="X290" s="8"/>
      <c r="Y290" s="637"/>
    </row>
    <row r="291" spans="1:25">
      <c r="A291" s="1128" t="s">
        <v>107</v>
      </c>
      <c r="B291" s="978"/>
      <c r="C291" s="661" t="s">
        <v>976</v>
      </c>
      <c r="D291" s="628"/>
      <c r="E291" s="628"/>
      <c r="F291" s="628"/>
      <c r="G291" s="663"/>
      <c r="H291" s="628"/>
      <c r="I291" s="628"/>
      <c r="J291" s="628"/>
      <c r="K291" s="628"/>
      <c r="L291" s="677">
        <f>L287/L290</f>
        <v>0</v>
      </c>
      <c r="X291" s="8"/>
      <c r="Y291" s="637"/>
    </row>
    <row r="292" spans="1:25">
      <c r="A292" s="1128" t="s">
        <v>105</v>
      </c>
      <c r="B292" s="978"/>
      <c r="C292" s="661"/>
      <c r="D292" s="628"/>
      <c r="E292" s="628"/>
      <c r="F292" s="628"/>
      <c r="G292" s="663"/>
      <c r="H292" s="628"/>
      <c r="I292" s="628"/>
      <c r="J292" s="628"/>
      <c r="K292" s="628"/>
      <c r="L292" s="677"/>
      <c r="X292" s="8"/>
      <c r="Y292" s="637"/>
    </row>
    <row r="293" spans="1:25" ht="15.6">
      <c r="A293" s="1128" t="s">
        <v>104</v>
      </c>
      <c r="B293" s="978"/>
      <c r="C293" s="666" t="s">
        <v>967</v>
      </c>
      <c r="D293" s="628"/>
      <c r="E293" s="628"/>
      <c r="F293" s="628"/>
      <c r="G293" s="663"/>
      <c r="H293" s="628"/>
      <c r="I293" s="628"/>
      <c r="J293" s="628"/>
      <c r="K293" s="628"/>
      <c r="L293" s="677"/>
      <c r="X293" s="8"/>
      <c r="Y293" s="637"/>
    </row>
    <row r="294" spans="1:25">
      <c r="A294" s="1128" t="s">
        <v>103</v>
      </c>
      <c r="B294" s="978"/>
      <c r="C294" s="661" t="s">
        <v>1622</v>
      </c>
      <c r="D294" s="628"/>
      <c r="E294" s="628"/>
      <c r="F294" s="628"/>
      <c r="G294" s="663"/>
      <c r="H294" s="628"/>
      <c r="I294" s="628"/>
      <c r="J294" s="628"/>
      <c r="K294" s="628"/>
      <c r="L294" s="673">
        <f>+AppendixA!$H$48-AppendixA!$H$62</f>
        <v>701728.60760892951</v>
      </c>
      <c r="X294" s="8"/>
      <c r="Y294" s="637"/>
    </row>
    <row r="295" spans="1:25">
      <c r="A295" s="1128" t="s">
        <v>727</v>
      </c>
      <c r="B295" s="978"/>
      <c r="C295" s="661" t="s">
        <v>1623</v>
      </c>
      <c r="D295" s="628"/>
      <c r="E295" s="628"/>
      <c r="F295" s="628"/>
      <c r="G295" s="663"/>
      <c r="H295" s="628"/>
      <c r="I295" s="628"/>
      <c r="J295" s="628"/>
      <c r="K295" s="628"/>
      <c r="L295" s="673">
        <f>+L294*L291</f>
        <v>0</v>
      </c>
      <c r="X295" s="8"/>
      <c r="Y295" s="637"/>
    </row>
    <row r="296" spans="1:25">
      <c r="A296" s="1128" t="s">
        <v>728</v>
      </c>
      <c r="B296" s="978"/>
      <c r="C296" s="880"/>
      <c r="D296" s="628"/>
      <c r="E296" s="628"/>
      <c r="F296" s="628"/>
      <c r="G296" s="663"/>
      <c r="H296" s="628"/>
      <c r="I296" s="628"/>
      <c r="J296" s="628"/>
      <c r="K296" s="628"/>
      <c r="L296" s="890"/>
      <c r="X296" s="8"/>
      <c r="Y296" s="637"/>
    </row>
    <row r="297" spans="1:25" ht="15.6">
      <c r="A297" s="1128" t="s">
        <v>745</v>
      </c>
      <c r="B297" s="1132"/>
      <c r="C297" s="666" t="s">
        <v>1644</v>
      </c>
      <c r="D297" s="628"/>
      <c r="E297" s="628"/>
      <c r="F297" s="628"/>
      <c r="G297" s="663"/>
      <c r="H297" s="628"/>
      <c r="I297" s="628"/>
      <c r="J297" s="628"/>
      <c r="K297" s="628"/>
      <c r="L297" s="664"/>
      <c r="X297" s="8"/>
      <c r="Y297" s="637"/>
    </row>
    <row r="298" spans="1:25">
      <c r="A298" s="1128" t="s">
        <v>746</v>
      </c>
      <c r="B298" s="1132"/>
      <c r="C298" s="661" t="s">
        <v>958</v>
      </c>
      <c r="D298" s="628"/>
      <c r="E298" s="628"/>
      <c r="F298" s="628"/>
      <c r="G298" s="663"/>
      <c r="H298" s="628"/>
      <c r="I298" s="628"/>
      <c r="J298" s="628"/>
      <c r="K298" s="628"/>
      <c r="L298" s="673">
        <f>AppendixA!$H$95</f>
        <v>-5612988.9467919813</v>
      </c>
      <c r="X298" s="8"/>
      <c r="Y298" s="637"/>
    </row>
    <row r="299" spans="1:25">
      <c r="A299" s="1128" t="s">
        <v>747</v>
      </c>
      <c r="B299" s="1132"/>
      <c r="C299" s="661" t="s">
        <v>1655</v>
      </c>
      <c r="D299" s="628"/>
      <c r="E299" s="628"/>
      <c r="F299" s="628"/>
      <c r="G299" s="663"/>
      <c r="H299" s="628"/>
      <c r="I299" s="628"/>
      <c r="J299" s="628"/>
      <c r="K299" s="628"/>
      <c r="L299" s="673">
        <f>L298*L291</f>
        <v>0</v>
      </c>
      <c r="X299" s="8"/>
      <c r="Y299" s="637"/>
    </row>
    <row r="300" spans="1:25">
      <c r="A300" s="1128" t="s">
        <v>748</v>
      </c>
      <c r="B300" s="978"/>
      <c r="C300" s="661" t="s">
        <v>1656</v>
      </c>
      <c r="D300" s="628"/>
      <c r="E300" s="628"/>
      <c r="F300" s="628"/>
      <c r="G300" s="663"/>
      <c r="H300" s="628"/>
      <c r="I300" s="628"/>
      <c r="J300" s="628"/>
      <c r="K300" s="628"/>
      <c r="L300" s="673">
        <f>L287+L299+L295</f>
        <v>0</v>
      </c>
      <c r="X300" s="8"/>
      <c r="Y300" s="637"/>
    </row>
    <row r="301" spans="1:25">
      <c r="A301" s="1128" t="s">
        <v>749</v>
      </c>
      <c r="B301" s="978"/>
      <c r="C301" s="661" t="s">
        <v>959</v>
      </c>
      <c r="D301" s="628"/>
      <c r="E301" s="628"/>
      <c r="F301" s="628"/>
      <c r="G301" s="663"/>
      <c r="H301" s="628"/>
      <c r="I301" s="628"/>
      <c r="J301" s="628"/>
      <c r="K301" s="628"/>
      <c r="L301" s="677">
        <f>AppendixA!$H$182</f>
        <v>7.3603939048291073E-2</v>
      </c>
      <c r="X301" s="8"/>
      <c r="Y301" s="637"/>
    </row>
    <row r="302" spans="1:25">
      <c r="A302" s="1128" t="s">
        <v>750</v>
      </c>
      <c r="B302" s="978"/>
      <c r="C302" s="661" t="s">
        <v>1657</v>
      </c>
      <c r="D302" s="628"/>
      <c r="E302" s="628"/>
      <c r="F302" s="628"/>
      <c r="G302" s="663"/>
      <c r="H302" s="628"/>
      <c r="I302" s="628"/>
      <c r="J302" s="628"/>
      <c r="K302" s="628"/>
      <c r="L302" s="673">
        <f>L300*L301</f>
        <v>0</v>
      </c>
      <c r="X302" s="8"/>
      <c r="Y302" s="637"/>
    </row>
    <row r="303" spans="1:25">
      <c r="A303" s="878"/>
      <c r="B303" s="882" t="s">
        <v>751</v>
      </c>
      <c r="C303" s="661"/>
      <c r="D303" s="628"/>
      <c r="E303" s="628"/>
      <c r="F303" s="628"/>
      <c r="G303" s="663"/>
      <c r="H303" s="628"/>
      <c r="I303" s="628"/>
      <c r="J303" s="628"/>
      <c r="K303" s="628"/>
      <c r="L303" s="673"/>
      <c r="X303" s="8"/>
      <c r="Y303" s="637"/>
    </row>
    <row r="304" spans="1:25" ht="15.6">
      <c r="A304" s="1128" t="s">
        <v>936</v>
      </c>
      <c r="B304" s="978"/>
      <c r="C304" s="666" t="s">
        <v>1645</v>
      </c>
      <c r="D304" s="628"/>
      <c r="E304" s="628"/>
      <c r="F304" s="628"/>
      <c r="G304" s="663"/>
      <c r="H304" s="628"/>
      <c r="I304" s="628"/>
      <c r="J304" s="628"/>
      <c r="K304" s="628"/>
      <c r="L304" s="673"/>
      <c r="X304" s="8"/>
      <c r="Y304" s="637"/>
    </row>
    <row r="305" spans="1:25">
      <c r="A305" s="1128">
        <v>24</v>
      </c>
      <c r="B305" s="978"/>
      <c r="C305" s="661" t="s">
        <v>1647</v>
      </c>
      <c r="D305" s="628"/>
      <c r="E305" s="628"/>
      <c r="F305" s="628"/>
      <c r="G305" s="663"/>
      <c r="H305" s="628"/>
      <c r="I305" s="628"/>
      <c r="J305" s="628"/>
      <c r="K305" s="628"/>
      <c r="L305" s="673">
        <f>+AppendixA!$H$141</f>
        <v>62220.916888344676</v>
      </c>
      <c r="X305" s="8"/>
      <c r="Y305" s="637"/>
    </row>
    <row r="306" spans="1:25">
      <c r="A306" s="1128" t="s">
        <v>937</v>
      </c>
      <c r="B306" s="978"/>
      <c r="C306" s="885"/>
      <c r="D306" s="886"/>
      <c r="E306" s="886"/>
      <c r="F306" s="886"/>
      <c r="G306" s="887"/>
      <c r="H306" s="886"/>
      <c r="I306" s="886"/>
      <c r="J306" s="886"/>
      <c r="K306" s="886"/>
      <c r="L306" s="888"/>
      <c r="X306" s="8"/>
      <c r="Y306" s="637"/>
    </row>
    <row r="307" spans="1:25">
      <c r="A307" s="1128" t="s">
        <v>938</v>
      </c>
      <c r="B307" s="978"/>
      <c r="C307" s="661" t="s">
        <v>1646</v>
      </c>
      <c r="D307" s="628"/>
      <c r="E307" s="628"/>
      <c r="F307" s="628"/>
      <c r="G307" s="663"/>
      <c r="H307" s="628"/>
      <c r="I307" s="628"/>
      <c r="J307" s="628"/>
      <c r="K307" s="628"/>
      <c r="L307" s="673">
        <f>+L305*L291</f>
        <v>0</v>
      </c>
      <c r="X307" s="8"/>
      <c r="Y307" s="637"/>
    </row>
    <row r="308" spans="1:25">
      <c r="A308" s="1128" t="s">
        <v>939</v>
      </c>
      <c r="B308" s="978"/>
      <c r="C308" s="661"/>
      <c r="D308" s="628"/>
      <c r="E308" s="628"/>
      <c r="F308" s="628"/>
      <c r="G308" s="663"/>
      <c r="H308" s="628"/>
      <c r="I308" s="628"/>
      <c r="J308" s="628"/>
      <c r="K308" s="628"/>
      <c r="L308" s="664"/>
      <c r="X308" s="8"/>
      <c r="Y308" s="637"/>
    </row>
    <row r="309" spans="1:25" ht="15.6">
      <c r="A309" s="1128" t="s">
        <v>940</v>
      </c>
      <c r="B309" s="978"/>
      <c r="C309" s="666" t="s">
        <v>960</v>
      </c>
      <c r="D309" s="628"/>
      <c r="E309" s="628"/>
      <c r="F309" s="628"/>
      <c r="G309" s="663"/>
      <c r="H309" s="628"/>
      <c r="I309" s="628"/>
      <c r="J309" s="628"/>
      <c r="K309" s="628"/>
      <c r="L309" s="664"/>
      <c r="X309" s="8"/>
      <c r="Y309" s="637"/>
    </row>
    <row r="310" spans="1:25">
      <c r="A310" s="1128" t="s">
        <v>968</v>
      </c>
      <c r="B310" s="978"/>
      <c r="C310" s="661" t="s">
        <v>961</v>
      </c>
      <c r="D310" s="628"/>
      <c r="E310" s="628"/>
      <c r="F310" s="628"/>
      <c r="G310" s="663"/>
      <c r="H310" s="628"/>
      <c r="I310" s="628"/>
      <c r="J310" s="628"/>
      <c r="K310" s="628"/>
      <c r="L310" s="673">
        <f>AppendixA!$H$130</f>
        <v>1172367.8913758555</v>
      </c>
      <c r="X310" s="8"/>
      <c r="Y310" s="637"/>
    </row>
    <row r="311" spans="1:25">
      <c r="A311" s="1128" t="s">
        <v>969</v>
      </c>
      <c r="B311" s="978"/>
      <c r="C311" s="661" t="s">
        <v>1658</v>
      </c>
      <c r="D311" s="628"/>
      <c r="E311" s="628"/>
      <c r="F311" s="628"/>
      <c r="G311" s="663"/>
      <c r="H311" s="628"/>
      <c r="I311" s="628"/>
      <c r="J311" s="628"/>
      <c r="K311" s="628"/>
      <c r="L311" s="673">
        <f>L291*L310</f>
        <v>0</v>
      </c>
      <c r="X311" s="8"/>
      <c r="Y311" s="637"/>
    </row>
    <row r="312" spans="1:25">
      <c r="A312" s="1128" t="s">
        <v>970</v>
      </c>
      <c r="B312" s="978"/>
      <c r="C312" s="661"/>
      <c r="D312" s="628"/>
      <c r="E312" s="628"/>
      <c r="F312" s="628"/>
      <c r="G312" s="663"/>
      <c r="H312" s="628"/>
      <c r="I312" s="628"/>
      <c r="J312" s="628"/>
      <c r="K312" s="628"/>
      <c r="L312" s="664"/>
      <c r="X312" s="8"/>
      <c r="Y312" s="637"/>
    </row>
    <row r="313" spans="1:25" ht="15.6">
      <c r="A313" s="1128" t="s">
        <v>971</v>
      </c>
      <c r="B313" s="978"/>
      <c r="C313" s="666" t="s">
        <v>1621</v>
      </c>
      <c r="D313" s="628"/>
      <c r="E313" s="628"/>
      <c r="F313" s="628"/>
      <c r="G313" s="663"/>
      <c r="H313" s="628"/>
      <c r="I313" s="628"/>
      <c r="J313" s="628"/>
      <c r="K313" s="628"/>
      <c r="L313" s="664"/>
      <c r="X313" s="8"/>
      <c r="Y313" s="637"/>
    </row>
    <row r="314" spans="1:25">
      <c r="A314" s="1128" t="s">
        <v>1633</v>
      </c>
      <c r="B314" s="978"/>
      <c r="C314" s="661" t="s">
        <v>1648</v>
      </c>
      <c r="D314" s="628"/>
      <c r="E314" s="628"/>
      <c r="F314" s="628"/>
      <c r="G314" s="663"/>
      <c r="H314" s="628"/>
      <c r="I314" s="628"/>
      <c r="J314" s="628"/>
      <c r="K314" s="628"/>
      <c r="L314" s="675">
        <f>+'11 - Facilities'!O181</f>
        <v>0</v>
      </c>
      <c r="X314" s="8"/>
      <c r="Y314" s="637"/>
    </row>
    <row r="315" spans="1:25">
      <c r="A315" s="1128" t="s">
        <v>1624</v>
      </c>
      <c r="B315" s="978"/>
      <c r="C315" s="661"/>
      <c r="D315" s="628"/>
      <c r="E315" s="628"/>
      <c r="F315" s="628"/>
      <c r="G315" s="663"/>
      <c r="H315" s="628"/>
      <c r="I315" s="628"/>
      <c r="J315" s="628"/>
      <c r="K315" s="628"/>
      <c r="L315" s="673"/>
      <c r="X315" s="8"/>
      <c r="Y315" s="637"/>
    </row>
    <row r="316" spans="1:25" ht="15.6">
      <c r="A316" s="1128" t="s">
        <v>1625</v>
      </c>
      <c r="B316" s="1132"/>
      <c r="C316" s="666" t="s">
        <v>962</v>
      </c>
      <c r="D316" s="628"/>
      <c r="E316" s="628"/>
      <c r="F316" s="628"/>
      <c r="G316" s="663"/>
      <c r="H316" s="628"/>
      <c r="I316" s="628"/>
      <c r="J316" s="628"/>
      <c r="K316" s="628"/>
      <c r="L316" s="673"/>
      <c r="X316" s="8"/>
      <c r="Y316" s="637"/>
    </row>
    <row r="317" spans="1:25">
      <c r="A317" s="1128" t="s">
        <v>1634</v>
      </c>
      <c r="B317" s="978"/>
      <c r="C317" s="661" t="s">
        <v>963</v>
      </c>
      <c r="D317" s="628"/>
      <c r="E317" s="628"/>
      <c r="F317" s="628"/>
      <c r="G317" s="663"/>
      <c r="H317" s="628"/>
      <c r="I317" s="628"/>
      <c r="J317" s="628"/>
      <c r="K317" s="628"/>
      <c r="L317" s="673">
        <f>AppendixA!$H$149</f>
        <v>420701.86116179236</v>
      </c>
      <c r="X317" s="8"/>
      <c r="Y317" s="637"/>
    </row>
    <row r="318" spans="1:25">
      <c r="A318" s="1128" t="s">
        <v>1635</v>
      </c>
      <c r="B318" s="978"/>
      <c r="C318" s="661" t="s">
        <v>1649</v>
      </c>
      <c r="D318" s="628"/>
      <c r="E318" s="628"/>
      <c r="F318" s="628"/>
      <c r="G318" s="663"/>
      <c r="H318" s="883"/>
      <c r="I318" s="628"/>
      <c r="J318" s="628"/>
      <c r="K318" s="628"/>
      <c r="L318" s="673">
        <f>L291*L317</f>
        <v>0</v>
      </c>
      <c r="X318" s="8"/>
      <c r="Y318" s="637"/>
    </row>
    <row r="319" spans="1:25">
      <c r="A319" s="1128" t="s">
        <v>1626</v>
      </c>
      <c r="B319" s="978"/>
      <c r="C319" s="661"/>
      <c r="D319" s="628"/>
      <c r="E319" s="628"/>
      <c r="F319" s="628"/>
      <c r="G319" s="663"/>
      <c r="H319" s="628"/>
      <c r="I319" s="628"/>
      <c r="J319" s="628"/>
      <c r="K319" s="628"/>
      <c r="L319" s="673"/>
      <c r="X319" s="8"/>
      <c r="Y319" s="637"/>
    </row>
    <row r="320" spans="1:25" ht="15.6">
      <c r="A320" s="1128" t="s">
        <v>1627</v>
      </c>
      <c r="B320" s="1132"/>
      <c r="C320" s="666" t="s">
        <v>964</v>
      </c>
      <c r="D320" s="628"/>
      <c r="E320" s="628"/>
      <c r="F320" s="628"/>
      <c r="G320" s="663"/>
      <c r="H320" s="628"/>
      <c r="I320" s="628"/>
      <c r="J320" s="628"/>
      <c r="K320" s="628"/>
      <c r="L320" s="673"/>
      <c r="X320" s="8"/>
      <c r="Y320" s="637"/>
    </row>
    <row r="321" spans="1:25">
      <c r="A321" s="1128" t="s">
        <v>1636</v>
      </c>
      <c r="B321" s="978"/>
      <c r="C321" s="661" t="s">
        <v>965</v>
      </c>
      <c r="D321" s="628"/>
      <c r="E321" s="628"/>
      <c r="F321" s="628"/>
      <c r="G321" s="663"/>
      <c r="H321" s="628"/>
      <c r="I321" s="628"/>
      <c r="J321" s="628"/>
      <c r="K321" s="628"/>
      <c r="L321" s="673">
        <f>AppendixA!$H$228</f>
        <v>524818.20552830724</v>
      </c>
      <c r="X321" s="8"/>
      <c r="Y321" s="637"/>
    </row>
    <row r="322" spans="1:25">
      <c r="A322" s="1128" t="s">
        <v>1637</v>
      </c>
      <c r="B322" s="978"/>
      <c r="C322" s="661" t="s">
        <v>1650</v>
      </c>
      <c r="D322" s="628"/>
      <c r="E322" s="628"/>
      <c r="F322" s="628"/>
      <c r="G322" s="663"/>
      <c r="H322" s="628"/>
      <c r="I322" s="628"/>
      <c r="J322" s="628"/>
      <c r="K322" s="628"/>
      <c r="L322" s="673">
        <f>L291*L321</f>
        <v>0</v>
      </c>
      <c r="X322" s="8"/>
      <c r="Y322" s="637"/>
    </row>
    <row r="323" spans="1:25">
      <c r="A323" s="1128" t="s">
        <v>1628</v>
      </c>
      <c r="B323" s="1132"/>
      <c r="C323" s="661"/>
      <c r="D323" s="628"/>
      <c r="E323" s="628"/>
      <c r="F323" s="628"/>
      <c r="G323" s="663"/>
      <c r="H323" s="628"/>
      <c r="I323" s="628"/>
      <c r="J323" s="628"/>
      <c r="K323" s="628"/>
      <c r="L323" s="673"/>
      <c r="X323" s="8"/>
      <c r="Y323" s="637"/>
    </row>
    <row r="324" spans="1:25" ht="15.6">
      <c r="A324" s="1128" t="s">
        <v>1638</v>
      </c>
      <c r="B324" s="978"/>
      <c r="C324" s="666" t="s">
        <v>1651</v>
      </c>
      <c r="D324" s="883"/>
      <c r="E324" s="883"/>
      <c r="F324" s="889"/>
      <c r="G324" s="884"/>
      <c r="H324" s="883"/>
      <c r="I324" s="883"/>
      <c r="J324" s="883"/>
      <c r="K324" s="628"/>
      <c r="L324" s="673">
        <f>L302+L311+L314+L318+L322+L307</f>
        <v>0</v>
      </c>
      <c r="X324" s="8"/>
      <c r="Y324" s="637"/>
    </row>
    <row r="325" spans="1:25" ht="15.6">
      <c r="A325" s="1128" t="s">
        <v>1629</v>
      </c>
      <c r="B325" s="1132"/>
      <c r="C325" s="666"/>
      <c r="D325" s="628"/>
      <c r="E325" s="628"/>
      <c r="F325" s="662"/>
      <c r="G325" s="663"/>
      <c r="H325" s="628"/>
      <c r="I325" s="628"/>
      <c r="J325" s="628"/>
      <c r="K325" s="628"/>
      <c r="L325" s="664"/>
      <c r="X325" s="8"/>
      <c r="Y325" s="637"/>
    </row>
    <row r="326" spans="1:25">
      <c r="A326" s="1128" t="s">
        <v>1639</v>
      </c>
      <c r="B326" s="978"/>
      <c r="C326" s="661" t="s">
        <v>928</v>
      </c>
      <c r="D326" s="628"/>
      <c r="E326" s="628"/>
      <c r="F326" s="662"/>
      <c r="G326" s="663"/>
      <c r="H326" s="628"/>
      <c r="I326" s="628"/>
      <c r="J326" s="628"/>
      <c r="K326" s="628"/>
      <c r="L326" s="682">
        <f>AppendixA!$H$212</f>
        <v>0.2658227848101265</v>
      </c>
      <c r="X326" s="8"/>
      <c r="Y326" s="637"/>
    </row>
    <row r="327" spans="1:25">
      <c r="A327" s="1128" t="s">
        <v>1640</v>
      </c>
      <c r="B327" s="978"/>
      <c r="C327" s="661" t="s">
        <v>929</v>
      </c>
      <c r="D327" s="628"/>
      <c r="E327" s="628"/>
      <c r="F327" s="662"/>
      <c r="G327" s="663"/>
      <c r="H327" s="628"/>
      <c r="I327" s="628"/>
      <c r="J327" s="628"/>
      <c r="K327" s="628"/>
      <c r="L327" s="677">
        <f>'6-WACC'!$G$16</f>
        <v>0.50515815125064667</v>
      </c>
      <c r="X327" s="8"/>
      <c r="Y327" s="637"/>
    </row>
    <row r="328" spans="1:25">
      <c r="A328" s="1128" t="s">
        <v>1641</v>
      </c>
      <c r="B328" s="978"/>
      <c r="C328" s="661" t="s">
        <v>1659</v>
      </c>
      <c r="D328" s="628"/>
      <c r="E328" s="628"/>
      <c r="F328" s="662"/>
      <c r="G328" s="663"/>
      <c r="H328" s="628"/>
      <c r="I328" s="628"/>
      <c r="J328" s="628"/>
      <c r="K328" s="628"/>
      <c r="L328" s="677">
        <f>((0.01/L326)*L327*100)</f>
        <v>1.9003568547048142</v>
      </c>
      <c r="X328" s="8"/>
      <c r="Y328" s="637"/>
    </row>
    <row r="329" spans="1:25">
      <c r="A329" s="1128" t="s">
        <v>1642</v>
      </c>
      <c r="B329" s="978"/>
      <c r="C329" s="661" t="s">
        <v>1660</v>
      </c>
      <c r="D329" s="628"/>
      <c r="E329" s="628"/>
      <c r="F329" s="662"/>
      <c r="G329" s="663"/>
      <c r="H329" s="628"/>
      <c r="I329" s="628"/>
      <c r="J329" s="628"/>
      <c r="K329" s="628"/>
      <c r="L329" s="673">
        <f>L285*L300</f>
        <v>0</v>
      </c>
      <c r="X329" s="8"/>
      <c r="Y329" s="637"/>
    </row>
    <row r="330" spans="1:25" ht="15.6">
      <c r="A330" s="1128" t="s">
        <v>1630</v>
      </c>
      <c r="B330" s="1132"/>
      <c r="C330" s="666"/>
      <c r="D330" s="628"/>
      <c r="E330" s="628"/>
      <c r="F330" s="662"/>
      <c r="G330" s="663"/>
      <c r="H330" s="628"/>
      <c r="I330" s="628"/>
      <c r="J330" s="628"/>
      <c r="K330" s="628"/>
      <c r="L330" s="673"/>
      <c r="X330" s="8"/>
      <c r="Y330" s="637"/>
    </row>
    <row r="331" spans="1:25" ht="15.6">
      <c r="A331" s="1128" t="s">
        <v>1643</v>
      </c>
      <c r="B331" s="978"/>
      <c r="C331" s="666" t="s">
        <v>1661</v>
      </c>
      <c r="D331" s="628"/>
      <c r="E331" s="628"/>
      <c r="F331" s="662"/>
      <c r="G331" s="663"/>
      <c r="H331" s="628"/>
      <c r="I331" s="628"/>
      <c r="J331" s="628"/>
      <c r="K331" s="628"/>
      <c r="L331" s="673">
        <f>L324+L329</f>
        <v>0</v>
      </c>
      <c r="X331" s="8"/>
      <c r="Y331" s="637"/>
    </row>
    <row r="332" spans="1:25" ht="15.6" thickBot="1">
      <c r="A332" s="1128"/>
      <c r="B332" s="1132"/>
      <c r="C332" s="667"/>
      <c r="D332" s="668"/>
      <c r="E332" s="668"/>
      <c r="F332" s="669"/>
      <c r="G332" s="670"/>
      <c r="H332" s="668"/>
      <c r="I332" s="668"/>
      <c r="J332" s="668"/>
      <c r="K332" s="668"/>
      <c r="L332" s="678"/>
      <c r="X332" s="8"/>
      <c r="Y332" s="637"/>
    </row>
    <row r="333" spans="1:25">
      <c r="A333" s="672"/>
      <c r="B333" s="672"/>
      <c r="C333" s="642"/>
      <c r="D333" s="628"/>
      <c r="E333" s="641"/>
      <c r="F333" s="628"/>
      <c r="G333" s="641"/>
      <c r="H333" s="628"/>
      <c r="I333" s="638"/>
      <c r="J333" s="638"/>
      <c r="K333" s="639"/>
      <c r="L333" s="638"/>
      <c r="W333" s="222"/>
      <c r="X333" s="222"/>
      <c r="Y333" s="222"/>
    </row>
    <row r="334" spans="1:25">
      <c r="A334" s="8" t="s">
        <v>941</v>
      </c>
      <c r="B334" s="8"/>
      <c r="C334" s="8"/>
      <c r="D334" s="8"/>
      <c r="E334" s="8"/>
      <c r="F334" s="8"/>
      <c r="G334" s="8"/>
      <c r="H334" s="8"/>
      <c r="I334" s="8"/>
      <c r="J334" s="8"/>
      <c r="K334" s="8"/>
      <c r="L334" s="8"/>
      <c r="M334" s="8"/>
      <c r="N334" s="640"/>
      <c r="O334" s="10"/>
      <c r="P334" s="222"/>
      <c r="Q334" s="222"/>
      <c r="R334" s="222"/>
      <c r="S334" s="222"/>
      <c r="T334" s="222"/>
      <c r="U334" s="10"/>
      <c r="V334" s="222"/>
      <c r="W334" s="222"/>
      <c r="X334" s="222"/>
      <c r="Y334" s="222"/>
    </row>
    <row r="335" spans="1:25">
      <c r="B335" s="10" t="s">
        <v>441</v>
      </c>
      <c r="C335" s="628"/>
      <c r="D335" s="628"/>
      <c r="E335" s="628"/>
      <c r="F335" s="628"/>
      <c r="G335" s="628"/>
      <c r="H335" s="628"/>
      <c r="I335" s="628"/>
      <c r="J335" s="628"/>
      <c r="K335" s="628"/>
      <c r="L335" s="628"/>
      <c r="M335" s="628"/>
      <c r="N335" s="640"/>
      <c r="O335" s="10"/>
      <c r="P335" s="222"/>
      <c r="Q335" s="222"/>
      <c r="R335" s="222"/>
      <c r="S335" s="222"/>
      <c r="T335" s="222"/>
      <c r="U335" s="10"/>
      <c r="V335" s="222"/>
      <c r="W335" s="222"/>
      <c r="X335" s="222"/>
      <c r="Y335" s="222"/>
    </row>
    <row r="336" spans="1:25">
      <c r="C336" s="628"/>
      <c r="D336" s="628"/>
      <c r="E336" s="628"/>
      <c r="F336" s="628"/>
      <c r="G336" s="10"/>
      <c r="H336" s="628"/>
      <c r="I336" s="628"/>
      <c r="J336" s="10" t="s">
        <v>917</v>
      </c>
      <c r="K336" s="628"/>
      <c r="L336" s="628"/>
      <c r="M336" s="628"/>
    </row>
    <row r="337" spans="1:18">
      <c r="C337" s="628"/>
      <c r="D337" s="628"/>
      <c r="E337" s="628"/>
      <c r="F337" s="628"/>
      <c r="G337" s="10"/>
      <c r="H337" s="628"/>
      <c r="I337" s="628"/>
      <c r="J337" s="647" t="s">
        <v>944</v>
      </c>
      <c r="K337" s="628"/>
      <c r="L337" s="628"/>
      <c r="M337" s="628"/>
    </row>
    <row r="338" spans="1:18" ht="15.6">
      <c r="B338" s="975" t="s">
        <v>983</v>
      </c>
      <c r="C338" s="975"/>
      <c r="D338" s="975"/>
      <c r="E338" s="975"/>
      <c r="F338" s="975"/>
      <c r="G338" s="975"/>
      <c r="H338" s="975"/>
      <c r="I338" s="975"/>
      <c r="J338" s="975"/>
      <c r="K338" s="975"/>
      <c r="L338" s="975"/>
      <c r="M338" s="975"/>
      <c r="N338" s="975"/>
      <c r="O338" s="975"/>
    </row>
    <row r="339" spans="1:18">
      <c r="B339" s="976" t="str">
        <f>$B$2</f>
        <v>(For Rate Year Beginning April 1, 2026, Based on December 31, 2025 Data)</v>
      </c>
      <c r="C339" s="976"/>
      <c r="D339" s="976"/>
      <c r="E339" s="976"/>
      <c r="F339" s="976"/>
      <c r="G339" s="976"/>
      <c r="H339" s="976"/>
      <c r="I339" s="976"/>
      <c r="J339" s="976"/>
      <c r="K339" s="976"/>
      <c r="L339" s="976"/>
      <c r="M339" s="976"/>
      <c r="N339" s="976"/>
      <c r="O339" s="976"/>
    </row>
    <row r="341" spans="1:18" ht="15.6">
      <c r="A341" s="1157" t="s">
        <v>986</v>
      </c>
      <c r="B341" s="1158"/>
      <c r="C341" s="1158"/>
      <c r="D341" s="1158"/>
      <c r="E341" s="1158"/>
      <c r="F341" s="1158"/>
    </row>
    <row r="343" spans="1:18">
      <c r="B343" s="6" t="s">
        <v>926</v>
      </c>
    </row>
    <row r="344" spans="1:18">
      <c r="B344" s="6" t="s">
        <v>927</v>
      </c>
    </row>
    <row r="345" spans="1:18">
      <c r="B345" s="6" t="s">
        <v>972</v>
      </c>
    </row>
    <row r="346" spans="1:18">
      <c r="B346" s="6" t="s">
        <v>954</v>
      </c>
    </row>
    <row r="348" spans="1:18">
      <c r="A348" s="1130" t="s">
        <v>244</v>
      </c>
      <c r="B348" s="978"/>
    </row>
    <row r="349" spans="1:18" ht="6" customHeight="1" thickBot="1">
      <c r="A349" s="1131"/>
      <c r="B349" s="1131"/>
    </row>
    <row r="350" spans="1:18" ht="15.6" thickBot="1">
      <c r="A350" s="1128" t="s">
        <v>521</v>
      </c>
      <c r="B350" s="1129"/>
      <c r="C350" s="1149" t="s">
        <v>930</v>
      </c>
      <c r="D350" s="1150"/>
      <c r="E350" s="1151"/>
      <c r="F350" s="1151"/>
      <c r="G350" s="1151"/>
      <c r="H350" s="1151"/>
      <c r="I350" s="1151"/>
      <c r="J350" s="1151"/>
      <c r="K350" s="1151"/>
      <c r="L350" s="1152"/>
      <c r="M350" s="628"/>
      <c r="O350" s="633"/>
    </row>
    <row r="351" spans="1:18" ht="15.6" thickBot="1">
      <c r="A351" s="1131"/>
      <c r="B351" s="1162"/>
      <c r="C351" s="634"/>
      <c r="D351" s="628"/>
      <c r="E351" s="628"/>
      <c r="F351" s="1153" t="s">
        <v>177</v>
      </c>
      <c r="G351" s="1154"/>
      <c r="H351" s="628"/>
      <c r="I351" s="628"/>
      <c r="J351" s="628"/>
      <c r="K351" s="628"/>
      <c r="L351" s="635" t="s">
        <v>178</v>
      </c>
      <c r="M351" s="642"/>
      <c r="O351" s="633"/>
      <c r="R351" s="633"/>
    </row>
    <row r="352" spans="1:18">
      <c r="A352" s="1128" t="s">
        <v>518</v>
      </c>
      <c r="B352" s="1129"/>
      <c r="C352" s="1155" t="s">
        <v>931</v>
      </c>
      <c r="D352" s="1156"/>
      <c r="E352" s="1156"/>
      <c r="F352" s="1159"/>
      <c r="G352" s="1160"/>
      <c r="H352" s="1161"/>
      <c r="I352" s="1156"/>
      <c r="J352" s="1156"/>
      <c r="K352" s="1156"/>
      <c r="L352" s="636"/>
      <c r="M352" s="721"/>
    </row>
    <row r="353" spans="1:25">
      <c r="A353" s="1128" t="s">
        <v>515</v>
      </c>
      <c r="B353" s="1129"/>
      <c r="C353" s="1145" t="s">
        <v>932</v>
      </c>
      <c r="D353" s="1146"/>
      <c r="E353" s="1146"/>
      <c r="F353" s="1133"/>
      <c r="G353" s="1134"/>
      <c r="H353" s="1148" t="s">
        <v>933</v>
      </c>
      <c r="I353" s="1146"/>
      <c r="J353" s="1146"/>
      <c r="K353" s="1146"/>
      <c r="L353" s="671">
        <v>0</v>
      </c>
      <c r="M353" s="724"/>
    </row>
    <row r="354" spans="1:25">
      <c r="A354" s="1128" t="s">
        <v>512</v>
      </c>
      <c r="B354" s="1129"/>
      <c r="C354" s="1145" t="s">
        <v>934</v>
      </c>
      <c r="D354" s="1146"/>
      <c r="E354" s="1146"/>
      <c r="F354" s="1147"/>
      <c r="G354" s="1134"/>
      <c r="H354" s="1148" t="s">
        <v>1632</v>
      </c>
      <c r="I354" s="1146"/>
      <c r="J354" s="1146"/>
      <c r="K354" s="1146"/>
      <c r="L354" s="674">
        <f>L353*L393</f>
        <v>0</v>
      </c>
      <c r="M354" s="722"/>
    </row>
    <row r="355" spans="1:25" ht="15.6" thickBot="1">
      <c r="A355" s="1128" t="s">
        <v>510</v>
      </c>
      <c r="B355" s="978"/>
      <c r="C355" s="1145" t="s">
        <v>935</v>
      </c>
      <c r="D355" s="1146"/>
      <c r="E355" s="1146"/>
      <c r="F355" s="1133"/>
      <c r="G355" s="1134"/>
      <c r="H355" s="1148"/>
      <c r="I355" s="1146"/>
      <c r="J355" s="1146"/>
      <c r="K355" s="1146"/>
      <c r="L355" s="664"/>
      <c r="M355" s="723"/>
    </row>
    <row r="356" spans="1:25" ht="15" customHeight="1">
      <c r="A356" s="1128" t="s">
        <v>96</v>
      </c>
      <c r="B356" s="978"/>
      <c r="C356" s="246" t="s">
        <v>1620</v>
      </c>
      <c r="D356" s="665"/>
      <c r="E356" s="665"/>
      <c r="F356" s="665"/>
      <c r="G356" s="665"/>
      <c r="H356" s="665"/>
      <c r="I356" s="665"/>
      <c r="J356" s="665"/>
      <c r="K356" s="665"/>
      <c r="L356" s="676">
        <f>+'11 - Facilities'!N250</f>
        <v>0</v>
      </c>
      <c r="X356" s="8"/>
      <c r="Y356" s="637"/>
    </row>
    <row r="357" spans="1:25">
      <c r="A357" s="1128" t="s">
        <v>95</v>
      </c>
      <c r="B357" s="978"/>
      <c r="C357" s="234" t="s">
        <v>956</v>
      </c>
      <c r="D357" s="628"/>
      <c r="E357" s="628"/>
      <c r="F357" s="628"/>
      <c r="G357" s="663"/>
      <c r="H357" s="628"/>
      <c r="I357" s="628"/>
      <c r="J357" s="628"/>
      <c r="K357" s="628"/>
      <c r="L357" s="673">
        <f>Inputs!$D$112</f>
        <v>85279144.388324827</v>
      </c>
      <c r="X357" s="8"/>
      <c r="Y357" s="637"/>
    </row>
    <row r="358" spans="1:25">
      <c r="A358" s="1128" t="s">
        <v>93</v>
      </c>
      <c r="B358" s="978"/>
      <c r="C358" s="234" t="s">
        <v>957</v>
      </c>
      <c r="D358" s="628"/>
      <c r="E358" s="628"/>
      <c r="F358" s="628"/>
      <c r="G358" s="663"/>
      <c r="H358" s="628"/>
      <c r="I358" s="628"/>
      <c r="J358" s="628"/>
      <c r="K358" s="628"/>
      <c r="L358" s="673">
        <f>Inputs!$D$113</f>
        <v>35519691.656922147</v>
      </c>
      <c r="X358" s="8"/>
      <c r="Y358" s="637"/>
    </row>
    <row r="359" spans="1:25" ht="15" customHeight="1">
      <c r="A359" s="1128" t="s">
        <v>92</v>
      </c>
      <c r="B359" s="978"/>
      <c r="C359" s="661" t="s">
        <v>975</v>
      </c>
      <c r="D359" s="628"/>
      <c r="E359" s="628"/>
      <c r="F359" s="628"/>
      <c r="G359" s="663"/>
      <c r="H359" s="628"/>
      <c r="I359" s="628"/>
      <c r="J359" s="628"/>
      <c r="K359" s="628"/>
      <c r="L359" s="673">
        <f>L357-L358</f>
        <v>49759452.73140268</v>
      </c>
      <c r="X359" s="8"/>
      <c r="Y359" s="637"/>
    </row>
    <row r="360" spans="1:25">
      <c r="A360" s="1128" t="s">
        <v>107</v>
      </c>
      <c r="B360" s="978"/>
      <c r="C360" s="661" t="s">
        <v>976</v>
      </c>
      <c r="D360" s="628"/>
      <c r="E360" s="628"/>
      <c r="F360" s="628"/>
      <c r="G360" s="663"/>
      <c r="H360" s="628"/>
      <c r="I360" s="628"/>
      <c r="J360" s="628"/>
      <c r="K360" s="628"/>
      <c r="L360" s="677">
        <f>L356/L359</f>
        <v>0</v>
      </c>
      <c r="X360" s="8"/>
      <c r="Y360" s="637"/>
    </row>
    <row r="361" spans="1:25">
      <c r="A361" s="1128" t="s">
        <v>105</v>
      </c>
      <c r="B361" s="978"/>
      <c r="C361" s="661"/>
      <c r="D361" s="628"/>
      <c r="E361" s="628"/>
      <c r="F361" s="628"/>
      <c r="G361" s="663"/>
      <c r="H361" s="628"/>
      <c r="I361" s="628"/>
      <c r="J361" s="628"/>
      <c r="K361" s="628"/>
      <c r="L361" s="677"/>
      <c r="X361" s="8"/>
      <c r="Y361" s="637"/>
    </row>
    <row r="362" spans="1:25" ht="15.6">
      <c r="A362" s="1128" t="s">
        <v>104</v>
      </c>
      <c r="B362" s="978"/>
      <c r="C362" s="666" t="s">
        <v>967</v>
      </c>
      <c r="D362" s="628"/>
      <c r="E362" s="628"/>
      <c r="F362" s="628"/>
      <c r="G362" s="663"/>
      <c r="H362" s="628"/>
      <c r="I362" s="628"/>
      <c r="J362" s="628"/>
      <c r="K362" s="628"/>
      <c r="L362" s="677"/>
      <c r="X362" s="8"/>
      <c r="Y362" s="637"/>
    </row>
    <row r="363" spans="1:25">
      <c r="A363" s="1128" t="s">
        <v>103</v>
      </c>
      <c r="B363" s="978"/>
      <c r="C363" s="661" t="s">
        <v>1622</v>
      </c>
      <c r="D363" s="628"/>
      <c r="E363" s="628"/>
      <c r="F363" s="628"/>
      <c r="G363" s="663"/>
      <c r="H363" s="628"/>
      <c r="I363" s="628"/>
      <c r="J363" s="628"/>
      <c r="K363" s="628"/>
      <c r="L363" s="673">
        <f>+AppendixA!$H$48-AppendixA!$H$62</f>
        <v>701728.60760892951</v>
      </c>
      <c r="X363" s="8"/>
      <c r="Y363" s="637"/>
    </row>
    <row r="364" spans="1:25">
      <c r="A364" s="1128" t="s">
        <v>727</v>
      </c>
      <c r="B364" s="978"/>
      <c r="C364" s="661" t="s">
        <v>1623</v>
      </c>
      <c r="D364" s="628"/>
      <c r="E364" s="628"/>
      <c r="F364" s="628"/>
      <c r="G364" s="663"/>
      <c r="H364" s="628"/>
      <c r="I364" s="628"/>
      <c r="J364" s="628"/>
      <c r="K364" s="628"/>
      <c r="L364" s="673">
        <f>+L363*L360</f>
        <v>0</v>
      </c>
      <c r="X364" s="8"/>
      <c r="Y364" s="637"/>
    </row>
    <row r="365" spans="1:25">
      <c r="A365" s="1128" t="s">
        <v>728</v>
      </c>
      <c r="B365" s="978"/>
      <c r="C365" s="880"/>
      <c r="D365" s="628"/>
      <c r="E365" s="628"/>
      <c r="F365" s="628"/>
      <c r="G365" s="663"/>
      <c r="H365" s="628"/>
      <c r="I365" s="628"/>
      <c r="J365" s="628"/>
      <c r="K365" s="628"/>
      <c r="L365" s="890"/>
      <c r="X365" s="8"/>
      <c r="Y365" s="637"/>
    </row>
    <row r="366" spans="1:25" ht="15.6">
      <c r="A366" s="1128" t="s">
        <v>745</v>
      </c>
      <c r="B366" s="1132"/>
      <c r="C366" s="666" t="s">
        <v>1644</v>
      </c>
      <c r="D366" s="628"/>
      <c r="E366" s="628"/>
      <c r="F366" s="628"/>
      <c r="G366" s="663"/>
      <c r="H366" s="628"/>
      <c r="I366" s="628"/>
      <c r="J366" s="628"/>
      <c r="K366" s="628"/>
      <c r="L366" s="664"/>
      <c r="X366" s="8"/>
      <c r="Y366" s="637"/>
    </row>
    <row r="367" spans="1:25">
      <c r="A367" s="1128" t="s">
        <v>746</v>
      </c>
      <c r="B367" s="1132"/>
      <c r="C367" s="661" t="s">
        <v>958</v>
      </c>
      <c r="D367" s="628"/>
      <c r="E367" s="628"/>
      <c r="F367" s="628"/>
      <c r="G367" s="663"/>
      <c r="H367" s="628"/>
      <c r="I367" s="628"/>
      <c r="J367" s="628"/>
      <c r="K367" s="628"/>
      <c r="L367" s="673">
        <f>AppendixA!$H$95</f>
        <v>-5612988.9467919813</v>
      </c>
      <c r="X367" s="8"/>
      <c r="Y367" s="637"/>
    </row>
    <row r="368" spans="1:25">
      <c r="A368" s="1128" t="s">
        <v>747</v>
      </c>
      <c r="B368" s="1132"/>
      <c r="C368" s="661" t="s">
        <v>1655</v>
      </c>
      <c r="D368" s="628"/>
      <c r="E368" s="628"/>
      <c r="F368" s="628"/>
      <c r="G368" s="663"/>
      <c r="H368" s="628"/>
      <c r="I368" s="628"/>
      <c r="J368" s="628"/>
      <c r="K368" s="628"/>
      <c r="L368" s="673">
        <f>L367*L360</f>
        <v>0</v>
      </c>
      <c r="X368" s="8"/>
      <c r="Y368" s="637"/>
    </row>
    <row r="369" spans="1:25">
      <c r="A369" s="1128" t="s">
        <v>748</v>
      </c>
      <c r="B369" s="978"/>
      <c r="C369" s="661" t="s">
        <v>1656</v>
      </c>
      <c r="D369" s="628"/>
      <c r="E369" s="628"/>
      <c r="F369" s="628"/>
      <c r="G369" s="663"/>
      <c r="H369" s="628"/>
      <c r="I369" s="628"/>
      <c r="J369" s="628"/>
      <c r="K369" s="628"/>
      <c r="L369" s="673">
        <f>L356+L368+L364</f>
        <v>0</v>
      </c>
      <c r="X369" s="8"/>
      <c r="Y369" s="637"/>
    </row>
    <row r="370" spans="1:25">
      <c r="A370" s="1128" t="s">
        <v>749</v>
      </c>
      <c r="B370" s="978"/>
      <c r="C370" s="661" t="s">
        <v>959</v>
      </c>
      <c r="D370" s="628"/>
      <c r="E370" s="628"/>
      <c r="F370" s="628"/>
      <c r="G370" s="663"/>
      <c r="H370" s="628"/>
      <c r="I370" s="628"/>
      <c r="J370" s="628"/>
      <c r="K370" s="628"/>
      <c r="L370" s="677">
        <f>AppendixA!$H$182</f>
        <v>7.3603939048291073E-2</v>
      </c>
      <c r="X370" s="8"/>
      <c r="Y370" s="637"/>
    </row>
    <row r="371" spans="1:25">
      <c r="A371" s="1128" t="s">
        <v>750</v>
      </c>
      <c r="B371" s="978"/>
      <c r="C371" s="661" t="s">
        <v>1657</v>
      </c>
      <c r="D371" s="628"/>
      <c r="E371" s="628"/>
      <c r="F371" s="628"/>
      <c r="G371" s="663"/>
      <c r="H371" s="628"/>
      <c r="I371" s="628"/>
      <c r="J371" s="628"/>
      <c r="K371" s="628"/>
      <c r="L371" s="673">
        <f>L369*L370</f>
        <v>0</v>
      </c>
      <c r="X371" s="8"/>
      <c r="Y371" s="637"/>
    </row>
    <row r="372" spans="1:25">
      <c r="A372" s="878"/>
      <c r="B372" s="882" t="s">
        <v>751</v>
      </c>
      <c r="C372" s="661"/>
      <c r="D372" s="628"/>
      <c r="E372" s="628"/>
      <c r="F372" s="628"/>
      <c r="G372" s="663"/>
      <c r="H372" s="628"/>
      <c r="I372" s="628"/>
      <c r="J372" s="628"/>
      <c r="K372" s="628"/>
      <c r="L372" s="673"/>
      <c r="X372" s="8"/>
      <c r="Y372" s="637"/>
    </row>
    <row r="373" spans="1:25" ht="15.6">
      <c r="A373" s="1128" t="s">
        <v>936</v>
      </c>
      <c r="B373" s="978"/>
      <c r="C373" s="666" t="s">
        <v>1645</v>
      </c>
      <c r="D373" s="628"/>
      <c r="E373" s="628"/>
      <c r="F373" s="628"/>
      <c r="G373" s="663"/>
      <c r="H373" s="628"/>
      <c r="I373" s="628"/>
      <c r="J373" s="628"/>
      <c r="K373" s="628"/>
      <c r="L373" s="673"/>
      <c r="X373" s="8"/>
      <c r="Y373" s="637"/>
    </row>
    <row r="374" spans="1:25">
      <c r="A374" s="1128">
        <v>24</v>
      </c>
      <c r="B374" s="978"/>
      <c r="C374" s="661" t="s">
        <v>1647</v>
      </c>
      <c r="D374" s="628"/>
      <c r="E374" s="628"/>
      <c r="F374" s="628"/>
      <c r="G374" s="663"/>
      <c r="H374" s="628"/>
      <c r="I374" s="628"/>
      <c r="J374" s="628"/>
      <c r="K374" s="628"/>
      <c r="L374" s="673">
        <f>+AppendixA!$H$141</f>
        <v>62220.916888344676</v>
      </c>
      <c r="X374" s="8"/>
      <c r="Y374" s="637"/>
    </row>
    <row r="375" spans="1:25">
      <c r="A375" s="1128" t="s">
        <v>937</v>
      </c>
      <c r="B375" s="978"/>
      <c r="C375" s="885"/>
      <c r="D375" s="886"/>
      <c r="E375" s="886"/>
      <c r="F375" s="886"/>
      <c r="G375" s="887"/>
      <c r="H375" s="886"/>
      <c r="I375" s="886"/>
      <c r="J375" s="886"/>
      <c r="K375" s="886"/>
      <c r="L375" s="888"/>
      <c r="X375" s="8"/>
      <c r="Y375" s="637"/>
    </row>
    <row r="376" spans="1:25">
      <c r="A376" s="1128" t="s">
        <v>938</v>
      </c>
      <c r="B376" s="978"/>
      <c r="C376" s="661" t="s">
        <v>1646</v>
      </c>
      <c r="D376" s="628"/>
      <c r="E376" s="628"/>
      <c r="F376" s="628"/>
      <c r="G376" s="663"/>
      <c r="H376" s="628"/>
      <c r="I376" s="628"/>
      <c r="J376" s="628"/>
      <c r="K376" s="628"/>
      <c r="L376" s="673">
        <f>+L374*L360</f>
        <v>0</v>
      </c>
      <c r="X376" s="8"/>
      <c r="Y376" s="637"/>
    </row>
    <row r="377" spans="1:25">
      <c r="A377" s="1128" t="s">
        <v>939</v>
      </c>
      <c r="B377" s="978"/>
      <c r="C377" s="661"/>
      <c r="D377" s="628"/>
      <c r="E377" s="628"/>
      <c r="F377" s="628"/>
      <c r="G377" s="663"/>
      <c r="H377" s="628"/>
      <c r="I377" s="628"/>
      <c r="J377" s="628"/>
      <c r="K377" s="628"/>
      <c r="L377" s="664"/>
      <c r="X377" s="8"/>
      <c r="Y377" s="637"/>
    </row>
    <row r="378" spans="1:25" ht="15.6">
      <c r="A378" s="1128" t="s">
        <v>940</v>
      </c>
      <c r="B378" s="978"/>
      <c r="C378" s="666" t="s">
        <v>960</v>
      </c>
      <c r="D378" s="628"/>
      <c r="E378" s="628"/>
      <c r="F378" s="628"/>
      <c r="G378" s="663"/>
      <c r="H378" s="628"/>
      <c r="I378" s="628"/>
      <c r="J378" s="628"/>
      <c r="K378" s="628"/>
      <c r="L378" s="664"/>
      <c r="X378" s="8"/>
      <c r="Y378" s="637"/>
    </row>
    <row r="379" spans="1:25">
      <c r="A379" s="1128" t="s">
        <v>968</v>
      </c>
      <c r="B379" s="978"/>
      <c r="C379" s="661" t="s">
        <v>961</v>
      </c>
      <c r="D379" s="628"/>
      <c r="E379" s="628"/>
      <c r="F379" s="628"/>
      <c r="G379" s="663"/>
      <c r="H379" s="628"/>
      <c r="I379" s="628"/>
      <c r="J379" s="628"/>
      <c r="K379" s="628"/>
      <c r="L379" s="673">
        <f>AppendixA!$H$130</f>
        <v>1172367.8913758555</v>
      </c>
      <c r="X379" s="8"/>
      <c r="Y379" s="637"/>
    </row>
    <row r="380" spans="1:25">
      <c r="A380" s="1128" t="s">
        <v>969</v>
      </c>
      <c r="B380" s="978"/>
      <c r="C380" s="661" t="s">
        <v>1658</v>
      </c>
      <c r="D380" s="628"/>
      <c r="E380" s="628"/>
      <c r="F380" s="628"/>
      <c r="G380" s="663"/>
      <c r="H380" s="628"/>
      <c r="I380" s="628"/>
      <c r="J380" s="628"/>
      <c r="K380" s="628"/>
      <c r="L380" s="673">
        <f>L360*L379</f>
        <v>0</v>
      </c>
      <c r="X380" s="8"/>
      <c r="Y380" s="637"/>
    </row>
    <row r="381" spans="1:25">
      <c r="A381" s="1128" t="s">
        <v>970</v>
      </c>
      <c r="B381" s="978"/>
      <c r="C381" s="661"/>
      <c r="D381" s="628"/>
      <c r="E381" s="628"/>
      <c r="F381" s="628"/>
      <c r="G381" s="663"/>
      <c r="H381" s="628"/>
      <c r="I381" s="628"/>
      <c r="J381" s="628"/>
      <c r="K381" s="628"/>
      <c r="L381" s="664"/>
      <c r="X381" s="8"/>
      <c r="Y381" s="637"/>
    </row>
    <row r="382" spans="1:25" ht="15.6">
      <c r="A382" s="1128" t="s">
        <v>971</v>
      </c>
      <c r="B382" s="978"/>
      <c r="C382" s="666" t="s">
        <v>1621</v>
      </c>
      <c r="D382" s="628"/>
      <c r="E382" s="628"/>
      <c r="F382" s="628"/>
      <c r="G382" s="663"/>
      <c r="H382" s="628"/>
      <c r="I382" s="628"/>
      <c r="J382" s="628"/>
      <c r="K382" s="628"/>
      <c r="L382" s="664"/>
      <c r="X382" s="8"/>
      <c r="Y382" s="637"/>
    </row>
    <row r="383" spans="1:25">
      <c r="A383" s="1128" t="s">
        <v>1633</v>
      </c>
      <c r="B383" s="978"/>
      <c r="C383" s="661" t="s">
        <v>1648</v>
      </c>
      <c r="D383" s="628"/>
      <c r="E383" s="628"/>
      <c r="F383" s="628"/>
      <c r="G383" s="663"/>
      <c r="H383" s="628"/>
      <c r="I383" s="628"/>
      <c r="J383" s="628"/>
      <c r="K383" s="628"/>
      <c r="L383" s="675">
        <f>+'11 - Facilities'!O250</f>
        <v>0</v>
      </c>
      <c r="X383" s="8"/>
      <c r="Y383" s="637"/>
    </row>
    <row r="384" spans="1:25">
      <c r="A384" s="1128" t="s">
        <v>1624</v>
      </c>
      <c r="B384" s="978"/>
      <c r="C384" s="661"/>
      <c r="D384" s="628"/>
      <c r="E384" s="628"/>
      <c r="F384" s="628"/>
      <c r="G384" s="663"/>
      <c r="H384" s="628"/>
      <c r="I384" s="628"/>
      <c r="J384" s="628"/>
      <c r="K384" s="628"/>
      <c r="L384" s="673"/>
      <c r="X384" s="8"/>
      <c r="Y384" s="637"/>
    </row>
    <row r="385" spans="1:25" ht="15.6">
      <c r="A385" s="1128" t="s">
        <v>1625</v>
      </c>
      <c r="B385" s="1132"/>
      <c r="C385" s="666" t="s">
        <v>962</v>
      </c>
      <c r="D385" s="628"/>
      <c r="E385" s="628"/>
      <c r="F385" s="628"/>
      <c r="G385" s="663"/>
      <c r="H385" s="628"/>
      <c r="I385" s="628"/>
      <c r="J385" s="628"/>
      <c r="K385" s="628"/>
      <c r="L385" s="673"/>
      <c r="X385" s="8"/>
      <c r="Y385" s="637"/>
    </row>
    <row r="386" spans="1:25">
      <c r="A386" s="1128" t="s">
        <v>1634</v>
      </c>
      <c r="B386" s="978"/>
      <c r="C386" s="661" t="s">
        <v>963</v>
      </c>
      <c r="D386" s="628"/>
      <c r="E386" s="628"/>
      <c r="F386" s="628"/>
      <c r="G386" s="663"/>
      <c r="H386" s="628"/>
      <c r="I386" s="628"/>
      <c r="J386" s="628"/>
      <c r="K386" s="628"/>
      <c r="L386" s="673">
        <f>AppendixA!$H$149</f>
        <v>420701.86116179236</v>
      </c>
      <c r="X386" s="8"/>
      <c r="Y386" s="637"/>
    </row>
    <row r="387" spans="1:25">
      <c r="A387" s="1128" t="s">
        <v>1635</v>
      </c>
      <c r="B387" s="978"/>
      <c r="C387" s="661" t="s">
        <v>1649</v>
      </c>
      <c r="D387" s="628"/>
      <c r="E387" s="628"/>
      <c r="F387" s="628"/>
      <c r="G387" s="663"/>
      <c r="H387" s="883"/>
      <c r="I387" s="628"/>
      <c r="J387" s="628"/>
      <c r="K387" s="628"/>
      <c r="L387" s="673">
        <f>L360*L386</f>
        <v>0</v>
      </c>
      <c r="X387" s="8"/>
      <c r="Y387" s="637"/>
    </row>
    <row r="388" spans="1:25">
      <c r="A388" s="1128" t="s">
        <v>1626</v>
      </c>
      <c r="B388" s="978"/>
      <c r="C388" s="661"/>
      <c r="D388" s="628"/>
      <c r="E388" s="628"/>
      <c r="F388" s="628"/>
      <c r="G388" s="663"/>
      <c r="H388" s="628"/>
      <c r="I388" s="628"/>
      <c r="J388" s="628"/>
      <c r="K388" s="628"/>
      <c r="L388" s="673"/>
      <c r="X388" s="8"/>
      <c r="Y388" s="637"/>
    </row>
    <row r="389" spans="1:25" ht="15.6">
      <c r="A389" s="1128" t="s">
        <v>1627</v>
      </c>
      <c r="B389" s="1132"/>
      <c r="C389" s="666" t="s">
        <v>964</v>
      </c>
      <c r="D389" s="628"/>
      <c r="E389" s="628"/>
      <c r="F389" s="628"/>
      <c r="G389" s="663"/>
      <c r="H389" s="628"/>
      <c r="I389" s="628"/>
      <c r="J389" s="628"/>
      <c r="K389" s="628"/>
      <c r="L389" s="673"/>
      <c r="X389" s="8"/>
      <c r="Y389" s="637"/>
    </row>
    <row r="390" spans="1:25">
      <c r="A390" s="1128" t="s">
        <v>1636</v>
      </c>
      <c r="B390" s="978"/>
      <c r="C390" s="661" t="s">
        <v>965</v>
      </c>
      <c r="D390" s="628"/>
      <c r="E390" s="628"/>
      <c r="F390" s="628"/>
      <c r="G390" s="663"/>
      <c r="H390" s="628"/>
      <c r="I390" s="628"/>
      <c r="J390" s="628"/>
      <c r="K390" s="628"/>
      <c r="L390" s="673">
        <f>AppendixA!$H$228</f>
        <v>524818.20552830724</v>
      </c>
      <c r="X390" s="8"/>
      <c r="Y390" s="637"/>
    </row>
    <row r="391" spans="1:25">
      <c r="A391" s="1128" t="s">
        <v>1637</v>
      </c>
      <c r="B391" s="978"/>
      <c r="C391" s="661" t="s">
        <v>1650</v>
      </c>
      <c r="D391" s="628"/>
      <c r="E391" s="628"/>
      <c r="F391" s="628"/>
      <c r="G391" s="663"/>
      <c r="H391" s="628"/>
      <c r="I391" s="628"/>
      <c r="J391" s="628"/>
      <c r="K391" s="628"/>
      <c r="L391" s="673">
        <f>L360*L390</f>
        <v>0</v>
      </c>
      <c r="X391" s="8"/>
      <c r="Y391" s="637"/>
    </row>
    <row r="392" spans="1:25">
      <c r="A392" s="1128" t="s">
        <v>1628</v>
      </c>
      <c r="B392" s="1132"/>
      <c r="C392" s="661"/>
      <c r="D392" s="628"/>
      <c r="E392" s="628"/>
      <c r="F392" s="628"/>
      <c r="G392" s="663"/>
      <c r="H392" s="628"/>
      <c r="I392" s="628"/>
      <c r="J392" s="628"/>
      <c r="K392" s="628"/>
      <c r="L392" s="673"/>
      <c r="X392" s="8"/>
      <c r="Y392" s="637"/>
    </row>
    <row r="393" spans="1:25" ht="15.6">
      <c r="A393" s="1128" t="s">
        <v>1638</v>
      </c>
      <c r="B393" s="978"/>
      <c r="C393" s="666" t="s">
        <v>1651</v>
      </c>
      <c r="D393" s="883"/>
      <c r="E393" s="883"/>
      <c r="F393" s="889"/>
      <c r="G393" s="884"/>
      <c r="H393" s="883"/>
      <c r="I393" s="883"/>
      <c r="J393" s="883"/>
      <c r="K393" s="628"/>
      <c r="L393" s="673">
        <f>L371+L380+L383+L387+L391+L376</f>
        <v>0</v>
      </c>
      <c r="X393" s="8"/>
      <c r="Y393" s="637"/>
    </row>
    <row r="394" spans="1:25" ht="15.6">
      <c r="A394" s="1128" t="s">
        <v>1629</v>
      </c>
      <c r="B394" s="1132"/>
      <c r="C394" s="666"/>
      <c r="D394" s="628"/>
      <c r="E394" s="628"/>
      <c r="F394" s="662"/>
      <c r="G394" s="663"/>
      <c r="H394" s="628"/>
      <c r="I394" s="628"/>
      <c r="J394" s="628"/>
      <c r="K394" s="628"/>
      <c r="L394" s="664"/>
      <c r="X394" s="8"/>
      <c r="Y394" s="637"/>
    </row>
    <row r="395" spans="1:25">
      <c r="A395" s="1128" t="s">
        <v>1639</v>
      </c>
      <c r="B395" s="978"/>
      <c r="C395" s="661" t="s">
        <v>928</v>
      </c>
      <c r="D395" s="628"/>
      <c r="E395" s="628"/>
      <c r="F395" s="662"/>
      <c r="G395" s="663"/>
      <c r="H395" s="628"/>
      <c r="I395" s="628"/>
      <c r="J395" s="628"/>
      <c r="K395" s="628"/>
      <c r="L395" s="682">
        <f>AppendixA!$H$212</f>
        <v>0.2658227848101265</v>
      </c>
      <c r="X395" s="8"/>
      <c r="Y395" s="637"/>
    </row>
    <row r="396" spans="1:25">
      <c r="A396" s="1128" t="s">
        <v>1640</v>
      </c>
      <c r="B396" s="978"/>
      <c r="C396" s="661" t="s">
        <v>929</v>
      </c>
      <c r="D396" s="628"/>
      <c r="E396" s="628"/>
      <c r="F396" s="662"/>
      <c r="G396" s="663"/>
      <c r="H396" s="628"/>
      <c r="I396" s="628"/>
      <c r="J396" s="628"/>
      <c r="K396" s="628"/>
      <c r="L396" s="677">
        <f>'6-WACC'!$G$16</f>
        <v>0.50515815125064667</v>
      </c>
      <c r="X396" s="8"/>
      <c r="Y396" s="637"/>
    </row>
    <row r="397" spans="1:25">
      <c r="A397" s="1128" t="s">
        <v>1641</v>
      </c>
      <c r="B397" s="978"/>
      <c r="C397" s="661" t="s">
        <v>1659</v>
      </c>
      <c r="D397" s="628"/>
      <c r="E397" s="628"/>
      <c r="F397" s="662"/>
      <c r="G397" s="663"/>
      <c r="H397" s="628"/>
      <c r="I397" s="628"/>
      <c r="J397" s="628"/>
      <c r="K397" s="628"/>
      <c r="L397" s="677">
        <f>((0.01/L395)*L396*100)</f>
        <v>1.9003568547048142</v>
      </c>
      <c r="X397" s="8"/>
      <c r="Y397" s="637"/>
    </row>
    <row r="398" spans="1:25">
      <c r="A398" s="1128" t="s">
        <v>1642</v>
      </c>
      <c r="B398" s="978"/>
      <c r="C398" s="661" t="s">
        <v>1660</v>
      </c>
      <c r="D398" s="628"/>
      <c r="E398" s="628"/>
      <c r="F398" s="662"/>
      <c r="G398" s="663"/>
      <c r="H398" s="628"/>
      <c r="I398" s="628"/>
      <c r="J398" s="628"/>
      <c r="K398" s="628"/>
      <c r="L398" s="673">
        <f>L354*L369</f>
        <v>0</v>
      </c>
      <c r="X398" s="8"/>
      <c r="Y398" s="637"/>
    </row>
    <row r="399" spans="1:25" ht="15.6">
      <c r="A399" s="1128" t="s">
        <v>1630</v>
      </c>
      <c r="B399" s="1132"/>
      <c r="C399" s="666"/>
      <c r="D399" s="628"/>
      <c r="E399" s="628"/>
      <c r="F399" s="662"/>
      <c r="G399" s="663"/>
      <c r="H399" s="628"/>
      <c r="I399" s="628"/>
      <c r="J399" s="628"/>
      <c r="K399" s="628"/>
      <c r="L399" s="673"/>
      <c r="X399" s="8"/>
      <c r="Y399" s="637"/>
    </row>
    <row r="400" spans="1:25" ht="15.6">
      <c r="A400" s="1128" t="s">
        <v>1643</v>
      </c>
      <c r="B400" s="978"/>
      <c r="C400" s="666" t="s">
        <v>1661</v>
      </c>
      <c r="D400" s="628"/>
      <c r="E400" s="628"/>
      <c r="F400" s="662"/>
      <c r="G400" s="663"/>
      <c r="H400" s="628"/>
      <c r="I400" s="628"/>
      <c r="J400" s="628"/>
      <c r="K400" s="628"/>
      <c r="L400" s="673">
        <f>L393+L398</f>
        <v>0</v>
      </c>
      <c r="X400" s="8"/>
      <c r="Y400" s="637"/>
    </row>
    <row r="401" spans="1:25" ht="15.6" thickBot="1">
      <c r="A401" s="1128"/>
      <c r="B401" s="1132"/>
      <c r="C401" s="667"/>
      <c r="D401" s="668"/>
      <c r="E401" s="668"/>
      <c r="F401" s="669"/>
      <c r="G401" s="670"/>
      <c r="H401" s="668"/>
      <c r="I401" s="668"/>
      <c r="J401" s="668"/>
      <c r="K401" s="668"/>
      <c r="L401" s="678"/>
      <c r="X401" s="8"/>
      <c r="Y401" s="637"/>
    </row>
    <row r="402" spans="1:25">
      <c r="A402" s="672"/>
      <c r="B402" s="672"/>
      <c r="C402" s="642"/>
      <c r="D402" s="628"/>
      <c r="E402" s="641"/>
      <c r="F402" s="628"/>
      <c r="G402" s="641"/>
      <c r="H402" s="628"/>
      <c r="I402" s="638"/>
      <c r="J402" s="638"/>
      <c r="K402" s="639"/>
      <c r="L402" s="638"/>
      <c r="W402" s="222"/>
      <c r="X402" s="222"/>
      <c r="Y402" s="222"/>
    </row>
    <row r="403" spans="1:25">
      <c r="A403" s="8" t="s">
        <v>941</v>
      </c>
      <c r="B403" s="8"/>
      <c r="C403" s="8"/>
      <c r="D403" s="8"/>
      <c r="E403" s="8"/>
      <c r="F403" s="8"/>
      <c r="G403" s="8"/>
      <c r="H403" s="8"/>
      <c r="I403" s="8"/>
      <c r="J403" s="8"/>
      <c r="K403" s="8"/>
      <c r="L403" s="8"/>
      <c r="M403" s="8"/>
      <c r="N403" s="640"/>
      <c r="O403" s="10"/>
      <c r="P403" s="222"/>
      <c r="Q403" s="222"/>
      <c r="R403" s="222"/>
      <c r="S403" s="222"/>
      <c r="T403" s="222"/>
      <c r="U403" s="10"/>
      <c r="V403" s="222"/>
      <c r="W403" s="222"/>
      <c r="X403" s="222"/>
      <c r="Y403" s="222"/>
    </row>
    <row r="404" spans="1:25">
      <c r="B404" s="10" t="s">
        <v>441</v>
      </c>
      <c r="C404" s="628"/>
      <c r="D404" s="628"/>
      <c r="E404" s="628"/>
      <c r="F404" s="628"/>
      <c r="G404" s="628"/>
      <c r="H404" s="628"/>
      <c r="I404" s="628"/>
      <c r="J404" s="628"/>
      <c r="K404" s="628"/>
      <c r="L404" s="628"/>
      <c r="M404" s="628"/>
      <c r="N404" s="640"/>
      <c r="O404" s="10"/>
      <c r="P404" s="222"/>
      <c r="Q404" s="222"/>
      <c r="R404" s="222"/>
      <c r="S404" s="222"/>
      <c r="T404" s="222"/>
      <c r="U404" s="10"/>
      <c r="V404" s="222"/>
      <c r="W404" s="222"/>
      <c r="X404" s="222"/>
      <c r="Y404" s="222"/>
    </row>
    <row r="405" spans="1:25">
      <c r="C405" s="628"/>
      <c r="D405" s="628"/>
      <c r="E405" s="628"/>
      <c r="F405" s="628"/>
      <c r="G405" s="10"/>
      <c r="H405" s="628"/>
      <c r="I405" s="628"/>
      <c r="J405" s="10" t="s">
        <v>917</v>
      </c>
      <c r="K405" s="628"/>
      <c r="L405" s="628"/>
      <c r="M405" s="628"/>
    </row>
    <row r="406" spans="1:25">
      <c r="C406" s="628"/>
      <c r="D406" s="628"/>
      <c r="E406" s="628"/>
      <c r="F406" s="628"/>
      <c r="G406" s="10"/>
      <c r="H406" s="628"/>
      <c r="I406" s="628"/>
      <c r="J406" s="647" t="s">
        <v>945</v>
      </c>
      <c r="K406" s="628"/>
      <c r="L406" s="628"/>
      <c r="M406" s="628"/>
    </row>
    <row r="407" spans="1:25" ht="15.6">
      <c r="B407" s="975" t="s">
        <v>983</v>
      </c>
      <c r="C407" s="975"/>
      <c r="D407" s="975"/>
      <c r="E407" s="975"/>
      <c r="F407" s="975"/>
      <c r="G407" s="975"/>
      <c r="H407" s="975"/>
      <c r="I407" s="975"/>
      <c r="J407" s="975"/>
      <c r="K407" s="975"/>
      <c r="L407" s="975"/>
      <c r="M407" s="975"/>
      <c r="N407" s="975"/>
      <c r="O407" s="975"/>
    </row>
    <row r="408" spans="1:25">
      <c r="B408" s="976" t="str">
        <f>$B$2</f>
        <v>(For Rate Year Beginning April 1, 2026, Based on December 31, 2025 Data)</v>
      </c>
      <c r="C408" s="976"/>
      <c r="D408" s="976"/>
      <c r="E408" s="976"/>
      <c r="F408" s="976"/>
      <c r="G408" s="976"/>
      <c r="H408" s="976"/>
      <c r="I408" s="976"/>
      <c r="J408" s="976"/>
      <c r="K408" s="976"/>
      <c r="L408" s="976"/>
      <c r="M408" s="976"/>
      <c r="N408" s="976"/>
      <c r="O408" s="976"/>
    </row>
    <row r="410" spans="1:25" ht="15.6">
      <c r="A410" s="1157" t="s">
        <v>986</v>
      </c>
      <c r="B410" s="1158"/>
      <c r="C410" s="1158"/>
      <c r="D410" s="1158"/>
      <c r="E410" s="1158"/>
      <c r="F410" s="1158"/>
    </row>
    <row r="412" spans="1:25">
      <c r="B412" s="6" t="s">
        <v>926</v>
      </c>
    </row>
    <row r="413" spans="1:25">
      <c r="B413" s="6" t="s">
        <v>927</v>
      </c>
    </row>
    <row r="414" spans="1:25">
      <c r="B414" s="6" t="s">
        <v>972</v>
      </c>
    </row>
    <row r="415" spans="1:25">
      <c r="B415" s="6" t="s">
        <v>954</v>
      </c>
    </row>
    <row r="417" spans="1:25">
      <c r="A417" s="1130" t="s">
        <v>244</v>
      </c>
      <c r="B417" s="978"/>
      <c r="R417" s="633"/>
    </row>
    <row r="418" spans="1:25" ht="6" customHeight="1" thickBot="1">
      <c r="A418" s="1131"/>
      <c r="B418" s="1131"/>
    </row>
    <row r="419" spans="1:25" ht="15.6" thickBot="1">
      <c r="A419" s="1128" t="s">
        <v>521</v>
      </c>
      <c r="B419" s="1129"/>
      <c r="C419" s="1149" t="s">
        <v>930</v>
      </c>
      <c r="D419" s="1150"/>
      <c r="E419" s="1151"/>
      <c r="F419" s="1151"/>
      <c r="G419" s="1151"/>
      <c r="H419" s="1151"/>
      <c r="I419" s="1151"/>
      <c r="J419" s="1151"/>
      <c r="K419" s="1151"/>
      <c r="L419" s="1152"/>
      <c r="M419" s="628"/>
      <c r="O419" s="633"/>
    </row>
    <row r="420" spans="1:25" ht="15.6" thickBot="1">
      <c r="A420" s="1131"/>
      <c r="B420" s="1162"/>
      <c r="C420" s="634"/>
      <c r="D420" s="628"/>
      <c r="E420" s="628"/>
      <c r="F420" s="1153" t="s">
        <v>177</v>
      </c>
      <c r="G420" s="1154"/>
      <c r="H420" s="628"/>
      <c r="I420" s="628"/>
      <c r="J420" s="628"/>
      <c r="K420" s="628"/>
      <c r="L420" s="635" t="s">
        <v>178</v>
      </c>
      <c r="M420" s="642"/>
      <c r="O420" s="633"/>
    </row>
    <row r="421" spans="1:25">
      <c r="A421" s="1128" t="s">
        <v>518</v>
      </c>
      <c r="B421" s="1129"/>
      <c r="C421" s="1155" t="s">
        <v>931</v>
      </c>
      <c r="D421" s="1156"/>
      <c r="E421" s="1156"/>
      <c r="F421" s="1159"/>
      <c r="G421" s="1160"/>
      <c r="H421" s="1161"/>
      <c r="I421" s="1156"/>
      <c r="J421" s="1156"/>
      <c r="K421" s="1156"/>
      <c r="L421" s="636"/>
      <c r="M421" s="721"/>
    </row>
    <row r="422" spans="1:25">
      <c r="A422" s="1128" t="s">
        <v>515</v>
      </c>
      <c r="B422" s="1129"/>
      <c r="C422" s="1145" t="s">
        <v>932</v>
      </c>
      <c r="D422" s="1146"/>
      <c r="E422" s="1146"/>
      <c r="F422" s="1133"/>
      <c r="G422" s="1134"/>
      <c r="H422" s="1148" t="s">
        <v>933</v>
      </c>
      <c r="I422" s="1146"/>
      <c r="J422" s="1146"/>
      <c r="K422" s="1146"/>
      <c r="L422" s="671">
        <v>0</v>
      </c>
      <c r="M422" s="724"/>
      <c r="P422" s="10"/>
      <c r="Q422" s="10"/>
      <c r="R422" s="10"/>
      <c r="S422" s="10"/>
      <c r="T422" s="10"/>
    </row>
    <row r="423" spans="1:25">
      <c r="A423" s="1128" t="s">
        <v>512</v>
      </c>
      <c r="B423" s="1129"/>
      <c r="C423" s="1145" t="s">
        <v>934</v>
      </c>
      <c r="D423" s="1146"/>
      <c r="E423" s="1146"/>
      <c r="F423" s="1147"/>
      <c r="G423" s="1134"/>
      <c r="H423" s="1148" t="s">
        <v>1632</v>
      </c>
      <c r="I423" s="1146"/>
      <c r="J423" s="1146"/>
      <c r="K423" s="1146"/>
      <c r="L423" s="674">
        <f>L422*L462</f>
        <v>0</v>
      </c>
      <c r="M423" s="722"/>
    </row>
    <row r="424" spans="1:25" ht="15.6" thickBot="1">
      <c r="A424" s="1128" t="s">
        <v>510</v>
      </c>
      <c r="B424" s="978"/>
      <c r="C424" s="1145" t="s">
        <v>935</v>
      </c>
      <c r="D424" s="1146"/>
      <c r="E424" s="1146"/>
      <c r="F424" s="1133"/>
      <c r="G424" s="1134"/>
      <c r="H424" s="1148"/>
      <c r="I424" s="1146"/>
      <c r="J424" s="1146"/>
      <c r="K424" s="1146"/>
      <c r="L424" s="664"/>
      <c r="M424" s="723"/>
    </row>
    <row r="425" spans="1:25" ht="15" customHeight="1">
      <c r="A425" s="1128" t="s">
        <v>96</v>
      </c>
      <c r="B425" s="978"/>
      <c r="C425" s="246" t="s">
        <v>1620</v>
      </c>
      <c r="D425" s="665"/>
      <c r="E425" s="665"/>
      <c r="F425" s="665"/>
      <c r="G425" s="665"/>
      <c r="H425" s="665"/>
      <c r="I425" s="665"/>
      <c r="J425" s="665"/>
      <c r="K425" s="665"/>
      <c r="L425" s="676">
        <f>+'11 - Facilities'!N319</f>
        <v>0</v>
      </c>
      <c r="X425" s="8"/>
      <c r="Y425" s="637"/>
    </row>
    <row r="426" spans="1:25">
      <c r="A426" s="1128" t="s">
        <v>95</v>
      </c>
      <c r="B426" s="978"/>
      <c r="C426" s="234" t="s">
        <v>956</v>
      </c>
      <c r="D426" s="628"/>
      <c r="E426" s="628"/>
      <c r="F426" s="628"/>
      <c r="G426" s="663"/>
      <c r="H426" s="628"/>
      <c r="I426" s="628"/>
      <c r="J426" s="628"/>
      <c r="K426" s="628"/>
      <c r="L426" s="673">
        <f>Inputs!$D$112</f>
        <v>85279144.388324827</v>
      </c>
      <c r="X426" s="8"/>
      <c r="Y426" s="637"/>
    </row>
    <row r="427" spans="1:25">
      <c r="A427" s="1128" t="s">
        <v>93</v>
      </c>
      <c r="B427" s="978"/>
      <c r="C427" s="234" t="s">
        <v>957</v>
      </c>
      <c r="D427" s="628"/>
      <c r="E427" s="628"/>
      <c r="F427" s="628"/>
      <c r="G427" s="663"/>
      <c r="H427" s="628"/>
      <c r="I427" s="628"/>
      <c r="J427" s="628"/>
      <c r="K427" s="628"/>
      <c r="L427" s="673">
        <f>Inputs!$D$113</f>
        <v>35519691.656922147</v>
      </c>
      <c r="X427" s="8"/>
      <c r="Y427" s="637"/>
    </row>
    <row r="428" spans="1:25" ht="15" customHeight="1">
      <c r="A428" s="1128" t="s">
        <v>92</v>
      </c>
      <c r="B428" s="978"/>
      <c r="C428" s="661" t="s">
        <v>975</v>
      </c>
      <c r="D428" s="628"/>
      <c r="E428" s="628"/>
      <c r="F428" s="628"/>
      <c r="G428" s="663"/>
      <c r="H428" s="628"/>
      <c r="I428" s="628"/>
      <c r="J428" s="628"/>
      <c r="K428" s="628"/>
      <c r="L428" s="673">
        <f>L426-L427</f>
        <v>49759452.73140268</v>
      </c>
      <c r="X428" s="8"/>
      <c r="Y428" s="637"/>
    </row>
    <row r="429" spans="1:25">
      <c r="A429" s="1128" t="s">
        <v>107</v>
      </c>
      <c r="B429" s="978"/>
      <c r="C429" s="661" t="s">
        <v>976</v>
      </c>
      <c r="D429" s="628"/>
      <c r="E429" s="628"/>
      <c r="F429" s="628"/>
      <c r="G429" s="663"/>
      <c r="H429" s="628"/>
      <c r="I429" s="628"/>
      <c r="J429" s="628"/>
      <c r="K429" s="628"/>
      <c r="L429" s="677">
        <f>L425/L428</f>
        <v>0</v>
      </c>
      <c r="X429" s="8"/>
      <c r="Y429" s="637"/>
    </row>
    <row r="430" spans="1:25">
      <c r="A430" s="1128" t="s">
        <v>105</v>
      </c>
      <c r="B430" s="978"/>
      <c r="C430" s="661"/>
      <c r="D430" s="628"/>
      <c r="E430" s="628"/>
      <c r="F430" s="628"/>
      <c r="G430" s="663"/>
      <c r="H430" s="628"/>
      <c r="I430" s="628"/>
      <c r="J430" s="628"/>
      <c r="K430" s="628"/>
      <c r="L430" s="677"/>
      <c r="X430" s="8"/>
      <c r="Y430" s="637"/>
    </row>
    <row r="431" spans="1:25" ht="15.6">
      <c r="A431" s="1128" t="s">
        <v>104</v>
      </c>
      <c r="B431" s="978"/>
      <c r="C431" s="666" t="s">
        <v>967</v>
      </c>
      <c r="D431" s="628"/>
      <c r="E431" s="628"/>
      <c r="F431" s="628"/>
      <c r="G431" s="663"/>
      <c r="H431" s="628"/>
      <c r="I431" s="628"/>
      <c r="J431" s="628"/>
      <c r="K431" s="628"/>
      <c r="L431" s="677"/>
      <c r="X431" s="8"/>
      <c r="Y431" s="637"/>
    </row>
    <row r="432" spans="1:25">
      <c r="A432" s="1128" t="s">
        <v>103</v>
      </c>
      <c r="B432" s="978"/>
      <c r="C432" s="661" t="s">
        <v>1622</v>
      </c>
      <c r="D432" s="628"/>
      <c r="E432" s="628"/>
      <c r="F432" s="628"/>
      <c r="G432" s="663"/>
      <c r="H432" s="628"/>
      <c r="I432" s="628"/>
      <c r="J432" s="628"/>
      <c r="K432" s="628"/>
      <c r="L432" s="673">
        <f>+AppendixA!$H$48-AppendixA!$H$62</f>
        <v>701728.60760892951</v>
      </c>
      <c r="X432" s="8"/>
      <c r="Y432" s="637"/>
    </row>
    <row r="433" spans="1:25">
      <c r="A433" s="1128" t="s">
        <v>727</v>
      </c>
      <c r="B433" s="978"/>
      <c r="C433" s="661" t="s">
        <v>1623</v>
      </c>
      <c r="D433" s="628"/>
      <c r="E433" s="628"/>
      <c r="F433" s="628"/>
      <c r="G433" s="663"/>
      <c r="H433" s="628"/>
      <c r="I433" s="628"/>
      <c r="J433" s="628"/>
      <c r="K433" s="628"/>
      <c r="L433" s="673">
        <f>+L432*L429</f>
        <v>0</v>
      </c>
      <c r="X433" s="8"/>
      <c r="Y433" s="637"/>
    </row>
    <row r="434" spans="1:25">
      <c r="A434" s="1128" t="s">
        <v>728</v>
      </c>
      <c r="B434" s="978"/>
      <c r="C434" s="880"/>
      <c r="D434" s="628"/>
      <c r="E434" s="628"/>
      <c r="F434" s="628"/>
      <c r="G434" s="663"/>
      <c r="H434" s="628"/>
      <c r="I434" s="628"/>
      <c r="J434" s="628"/>
      <c r="K434" s="628"/>
      <c r="L434" s="890"/>
      <c r="X434" s="8"/>
      <c r="Y434" s="637"/>
    </row>
    <row r="435" spans="1:25" ht="15.6">
      <c r="A435" s="1128" t="s">
        <v>745</v>
      </c>
      <c r="B435" s="1132"/>
      <c r="C435" s="666" t="s">
        <v>1644</v>
      </c>
      <c r="D435" s="628"/>
      <c r="E435" s="628"/>
      <c r="F435" s="628"/>
      <c r="G435" s="663"/>
      <c r="H435" s="628"/>
      <c r="I435" s="628"/>
      <c r="J435" s="628"/>
      <c r="K435" s="628"/>
      <c r="L435" s="664"/>
      <c r="X435" s="8"/>
      <c r="Y435" s="637"/>
    </row>
    <row r="436" spans="1:25">
      <c r="A436" s="1128" t="s">
        <v>746</v>
      </c>
      <c r="B436" s="1132"/>
      <c r="C436" s="661" t="s">
        <v>958</v>
      </c>
      <c r="D436" s="628"/>
      <c r="E436" s="628"/>
      <c r="F436" s="628"/>
      <c r="G436" s="663"/>
      <c r="H436" s="628"/>
      <c r="I436" s="628"/>
      <c r="J436" s="628"/>
      <c r="K436" s="628"/>
      <c r="L436" s="673">
        <f>AppendixA!$H$95</f>
        <v>-5612988.9467919813</v>
      </c>
      <c r="X436" s="8"/>
      <c r="Y436" s="637"/>
    </row>
    <row r="437" spans="1:25">
      <c r="A437" s="1128" t="s">
        <v>747</v>
      </c>
      <c r="B437" s="1132"/>
      <c r="C437" s="661" t="s">
        <v>1655</v>
      </c>
      <c r="D437" s="628"/>
      <c r="E437" s="628"/>
      <c r="F437" s="628"/>
      <c r="G437" s="663"/>
      <c r="H437" s="628"/>
      <c r="I437" s="628"/>
      <c r="J437" s="628"/>
      <c r="K437" s="628"/>
      <c r="L437" s="673">
        <f>L436*L429</f>
        <v>0</v>
      </c>
      <c r="X437" s="8"/>
      <c r="Y437" s="637"/>
    </row>
    <row r="438" spans="1:25">
      <c r="A438" s="1128" t="s">
        <v>748</v>
      </c>
      <c r="B438" s="978"/>
      <c r="C438" s="661" t="s">
        <v>1656</v>
      </c>
      <c r="D438" s="628"/>
      <c r="E438" s="628"/>
      <c r="F438" s="628"/>
      <c r="G438" s="663"/>
      <c r="H438" s="628"/>
      <c r="I438" s="628"/>
      <c r="J438" s="628"/>
      <c r="K438" s="628"/>
      <c r="L438" s="673">
        <f>L425+L437+L433</f>
        <v>0</v>
      </c>
      <c r="X438" s="8"/>
      <c r="Y438" s="637"/>
    </row>
    <row r="439" spans="1:25">
      <c r="A439" s="1128" t="s">
        <v>749</v>
      </c>
      <c r="B439" s="978"/>
      <c r="C439" s="661" t="s">
        <v>959</v>
      </c>
      <c r="D439" s="628"/>
      <c r="E439" s="628"/>
      <c r="F439" s="628"/>
      <c r="G439" s="663"/>
      <c r="H439" s="628"/>
      <c r="I439" s="628"/>
      <c r="J439" s="628"/>
      <c r="K439" s="628"/>
      <c r="L439" s="677">
        <f>AppendixA!$H$182</f>
        <v>7.3603939048291073E-2</v>
      </c>
      <c r="X439" s="8"/>
      <c r="Y439" s="637"/>
    </row>
    <row r="440" spans="1:25">
      <c r="A440" s="1128" t="s">
        <v>750</v>
      </c>
      <c r="B440" s="978"/>
      <c r="C440" s="661" t="s">
        <v>1657</v>
      </c>
      <c r="D440" s="628"/>
      <c r="E440" s="628"/>
      <c r="F440" s="628"/>
      <c r="G440" s="663"/>
      <c r="H440" s="628"/>
      <c r="I440" s="628"/>
      <c r="J440" s="628"/>
      <c r="K440" s="628"/>
      <c r="L440" s="673">
        <f>L438*L439</f>
        <v>0</v>
      </c>
      <c r="X440" s="8"/>
      <c r="Y440" s="637"/>
    </row>
    <row r="441" spans="1:25">
      <c r="A441" s="878"/>
      <c r="B441" s="882" t="s">
        <v>751</v>
      </c>
      <c r="C441" s="661"/>
      <c r="D441" s="628"/>
      <c r="E441" s="628"/>
      <c r="F441" s="628"/>
      <c r="G441" s="663"/>
      <c r="H441" s="628"/>
      <c r="I441" s="628"/>
      <c r="J441" s="628"/>
      <c r="K441" s="628"/>
      <c r="L441" s="673"/>
      <c r="X441" s="8"/>
      <c r="Y441" s="637"/>
    </row>
    <row r="442" spans="1:25" ht="15.6">
      <c r="A442" s="1128" t="s">
        <v>936</v>
      </c>
      <c r="B442" s="978"/>
      <c r="C442" s="666" t="s">
        <v>1645</v>
      </c>
      <c r="D442" s="628"/>
      <c r="E442" s="628"/>
      <c r="F442" s="628"/>
      <c r="G442" s="663"/>
      <c r="H442" s="628"/>
      <c r="I442" s="628"/>
      <c r="J442" s="628"/>
      <c r="K442" s="628"/>
      <c r="L442" s="673"/>
      <c r="X442" s="8"/>
      <c r="Y442" s="637"/>
    </row>
    <row r="443" spans="1:25">
      <c r="A443" s="1128">
        <v>24</v>
      </c>
      <c r="B443" s="978"/>
      <c r="C443" s="661" t="s">
        <v>1647</v>
      </c>
      <c r="D443" s="628"/>
      <c r="E443" s="628"/>
      <c r="F443" s="628"/>
      <c r="G443" s="663"/>
      <c r="H443" s="628"/>
      <c r="I443" s="628"/>
      <c r="J443" s="628"/>
      <c r="K443" s="628"/>
      <c r="L443" s="673">
        <f>+AppendixA!$H$141</f>
        <v>62220.916888344676</v>
      </c>
      <c r="X443" s="8"/>
      <c r="Y443" s="637"/>
    </row>
    <row r="444" spans="1:25">
      <c r="A444" s="1128" t="s">
        <v>937</v>
      </c>
      <c r="B444" s="978"/>
      <c r="C444" s="885"/>
      <c r="D444" s="886"/>
      <c r="E444" s="886"/>
      <c r="F444" s="886"/>
      <c r="G444" s="887"/>
      <c r="H444" s="886"/>
      <c r="I444" s="886"/>
      <c r="J444" s="886"/>
      <c r="K444" s="886"/>
      <c r="L444" s="888"/>
      <c r="X444" s="8"/>
      <c r="Y444" s="637"/>
    </row>
    <row r="445" spans="1:25">
      <c r="A445" s="1128" t="s">
        <v>938</v>
      </c>
      <c r="B445" s="978"/>
      <c r="C445" s="661" t="s">
        <v>1646</v>
      </c>
      <c r="D445" s="628"/>
      <c r="E445" s="628"/>
      <c r="F445" s="628"/>
      <c r="G445" s="663"/>
      <c r="H445" s="628"/>
      <c r="I445" s="628"/>
      <c r="J445" s="628"/>
      <c r="K445" s="628"/>
      <c r="L445" s="673">
        <f>+L443*L429</f>
        <v>0</v>
      </c>
      <c r="X445" s="8"/>
      <c r="Y445" s="637"/>
    </row>
    <row r="446" spans="1:25">
      <c r="A446" s="1128" t="s">
        <v>939</v>
      </c>
      <c r="B446" s="978"/>
      <c r="C446" s="661"/>
      <c r="D446" s="628"/>
      <c r="E446" s="628"/>
      <c r="F446" s="628"/>
      <c r="G446" s="663"/>
      <c r="H446" s="628"/>
      <c r="I446" s="628"/>
      <c r="J446" s="628"/>
      <c r="K446" s="628"/>
      <c r="L446" s="664"/>
      <c r="X446" s="8"/>
      <c r="Y446" s="637"/>
    </row>
    <row r="447" spans="1:25" ht="15.6">
      <c r="A447" s="1128" t="s">
        <v>940</v>
      </c>
      <c r="B447" s="978"/>
      <c r="C447" s="666" t="s">
        <v>960</v>
      </c>
      <c r="D447" s="628"/>
      <c r="E447" s="628"/>
      <c r="F447" s="628"/>
      <c r="G447" s="663"/>
      <c r="H447" s="628"/>
      <c r="I447" s="628"/>
      <c r="J447" s="628"/>
      <c r="K447" s="628"/>
      <c r="L447" s="664"/>
      <c r="X447" s="8"/>
      <c r="Y447" s="637"/>
    </row>
    <row r="448" spans="1:25">
      <c r="A448" s="1128" t="s">
        <v>968</v>
      </c>
      <c r="B448" s="978"/>
      <c r="C448" s="661" t="s">
        <v>961</v>
      </c>
      <c r="D448" s="628"/>
      <c r="E448" s="628"/>
      <c r="F448" s="628"/>
      <c r="G448" s="663"/>
      <c r="H448" s="628"/>
      <c r="I448" s="628"/>
      <c r="J448" s="628"/>
      <c r="K448" s="628"/>
      <c r="L448" s="673">
        <f>AppendixA!$H$130</f>
        <v>1172367.8913758555</v>
      </c>
      <c r="X448" s="8"/>
      <c r="Y448" s="637"/>
    </row>
    <row r="449" spans="1:25">
      <c r="A449" s="1128" t="s">
        <v>969</v>
      </c>
      <c r="B449" s="978"/>
      <c r="C449" s="661" t="s">
        <v>1658</v>
      </c>
      <c r="D449" s="628"/>
      <c r="E449" s="628"/>
      <c r="F449" s="628"/>
      <c r="G449" s="663"/>
      <c r="H449" s="628"/>
      <c r="I449" s="628"/>
      <c r="J449" s="628"/>
      <c r="K449" s="628"/>
      <c r="L449" s="673">
        <f>L429*L448</f>
        <v>0</v>
      </c>
      <c r="X449" s="8"/>
      <c r="Y449" s="637"/>
    </row>
    <row r="450" spans="1:25">
      <c r="A450" s="1128" t="s">
        <v>970</v>
      </c>
      <c r="B450" s="978"/>
      <c r="C450" s="661"/>
      <c r="D450" s="628"/>
      <c r="E450" s="628"/>
      <c r="F450" s="628"/>
      <c r="G450" s="663"/>
      <c r="H450" s="628"/>
      <c r="I450" s="628"/>
      <c r="J450" s="628"/>
      <c r="K450" s="628"/>
      <c r="L450" s="664"/>
      <c r="X450" s="8"/>
      <c r="Y450" s="637"/>
    </row>
    <row r="451" spans="1:25" ht="15.6">
      <c r="A451" s="1128" t="s">
        <v>971</v>
      </c>
      <c r="B451" s="978"/>
      <c r="C451" s="666" t="s">
        <v>1621</v>
      </c>
      <c r="D451" s="628"/>
      <c r="E451" s="628"/>
      <c r="F451" s="628"/>
      <c r="G451" s="663"/>
      <c r="H451" s="628"/>
      <c r="I451" s="628"/>
      <c r="J451" s="628"/>
      <c r="K451" s="628"/>
      <c r="L451" s="664"/>
      <c r="X451" s="8"/>
      <c r="Y451" s="637"/>
    </row>
    <row r="452" spans="1:25">
      <c r="A452" s="1128" t="s">
        <v>1633</v>
      </c>
      <c r="B452" s="978"/>
      <c r="C452" s="661" t="s">
        <v>1648</v>
      </c>
      <c r="D452" s="628"/>
      <c r="E452" s="628"/>
      <c r="F452" s="628"/>
      <c r="G452" s="663"/>
      <c r="H452" s="628"/>
      <c r="I452" s="628"/>
      <c r="J452" s="628"/>
      <c r="K452" s="628"/>
      <c r="L452" s="675">
        <f>+'11 - Facilities'!O319</f>
        <v>0</v>
      </c>
      <c r="X452" s="8"/>
      <c r="Y452" s="637"/>
    </row>
    <row r="453" spans="1:25">
      <c r="A453" s="1128" t="s">
        <v>1624</v>
      </c>
      <c r="B453" s="978"/>
      <c r="C453" s="661"/>
      <c r="D453" s="628"/>
      <c r="E453" s="628"/>
      <c r="F453" s="628"/>
      <c r="G453" s="663"/>
      <c r="H453" s="628"/>
      <c r="I453" s="628"/>
      <c r="J453" s="628"/>
      <c r="K453" s="628"/>
      <c r="L453" s="673"/>
      <c r="X453" s="8"/>
      <c r="Y453" s="637"/>
    </row>
    <row r="454" spans="1:25" ht="15.6">
      <c r="A454" s="1128" t="s">
        <v>1625</v>
      </c>
      <c r="B454" s="1132"/>
      <c r="C454" s="666" t="s">
        <v>962</v>
      </c>
      <c r="D454" s="628"/>
      <c r="E454" s="628"/>
      <c r="F454" s="628"/>
      <c r="G454" s="663"/>
      <c r="H454" s="628"/>
      <c r="I454" s="628"/>
      <c r="J454" s="628"/>
      <c r="K454" s="628"/>
      <c r="L454" s="673"/>
      <c r="X454" s="8"/>
      <c r="Y454" s="637"/>
    </row>
    <row r="455" spans="1:25">
      <c r="A455" s="1128" t="s">
        <v>1634</v>
      </c>
      <c r="B455" s="978"/>
      <c r="C455" s="661" t="s">
        <v>963</v>
      </c>
      <c r="D455" s="628"/>
      <c r="E455" s="628"/>
      <c r="F455" s="628"/>
      <c r="G455" s="663"/>
      <c r="H455" s="628"/>
      <c r="I455" s="628"/>
      <c r="J455" s="628"/>
      <c r="K455" s="628"/>
      <c r="L455" s="673">
        <f>AppendixA!$H$149</f>
        <v>420701.86116179236</v>
      </c>
      <c r="X455" s="8"/>
      <c r="Y455" s="637"/>
    </row>
    <row r="456" spans="1:25">
      <c r="A456" s="1128" t="s">
        <v>1635</v>
      </c>
      <c r="B456" s="978"/>
      <c r="C456" s="661" t="s">
        <v>1649</v>
      </c>
      <c r="D456" s="628"/>
      <c r="E456" s="628"/>
      <c r="F456" s="628"/>
      <c r="G456" s="663"/>
      <c r="H456" s="883"/>
      <c r="I456" s="628"/>
      <c r="J456" s="628"/>
      <c r="K456" s="628"/>
      <c r="L456" s="673">
        <f>L429*L455</f>
        <v>0</v>
      </c>
      <c r="X456" s="8"/>
      <c r="Y456" s="637"/>
    </row>
    <row r="457" spans="1:25">
      <c r="A457" s="1128" t="s">
        <v>1626</v>
      </c>
      <c r="B457" s="978"/>
      <c r="C457" s="661"/>
      <c r="D457" s="628"/>
      <c r="E457" s="628"/>
      <c r="F457" s="628"/>
      <c r="G457" s="663"/>
      <c r="H457" s="628"/>
      <c r="I457" s="628"/>
      <c r="J457" s="628"/>
      <c r="K457" s="628"/>
      <c r="L457" s="673"/>
      <c r="X457" s="8"/>
      <c r="Y457" s="637"/>
    </row>
    <row r="458" spans="1:25" ht="15.6">
      <c r="A458" s="1128" t="s">
        <v>1627</v>
      </c>
      <c r="B458" s="1132"/>
      <c r="C458" s="666" t="s">
        <v>964</v>
      </c>
      <c r="D458" s="628"/>
      <c r="E458" s="628"/>
      <c r="F458" s="628"/>
      <c r="G458" s="663"/>
      <c r="H458" s="628"/>
      <c r="I458" s="628"/>
      <c r="J458" s="628"/>
      <c r="K458" s="628"/>
      <c r="L458" s="673"/>
      <c r="X458" s="8"/>
      <c r="Y458" s="637"/>
    </row>
    <row r="459" spans="1:25">
      <c r="A459" s="1128" t="s">
        <v>1636</v>
      </c>
      <c r="B459" s="978"/>
      <c r="C459" s="661" t="s">
        <v>965</v>
      </c>
      <c r="D459" s="628"/>
      <c r="E459" s="628"/>
      <c r="F459" s="628"/>
      <c r="G459" s="663"/>
      <c r="H459" s="628"/>
      <c r="I459" s="628"/>
      <c r="J459" s="628"/>
      <c r="K459" s="628"/>
      <c r="L459" s="673">
        <f>AppendixA!$H$228</f>
        <v>524818.20552830724</v>
      </c>
      <c r="X459" s="8"/>
      <c r="Y459" s="637"/>
    </row>
    <row r="460" spans="1:25">
      <c r="A460" s="1128" t="s">
        <v>1637</v>
      </c>
      <c r="B460" s="978"/>
      <c r="C460" s="661" t="s">
        <v>1650</v>
      </c>
      <c r="D460" s="628"/>
      <c r="E460" s="628"/>
      <c r="F460" s="628"/>
      <c r="G460" s="663"/>
      <c r="H460" s="628"/>
      <c r="I460" s="628"/>
      <c r="J460" s="628"/>
      <c r="K460" s="628"/>
      <c r="L460" s="673">
        <f>L429*L459</f>
        <v>0</v>
      </c>
      <c r="X460" s="8"/>
      <c r="Y460" s="637"/>
    </row>
    <row r="461" spans="1:25">
      <c r="A461" s="1128" t="s">
        <v>1628</v>
      </c>
      <c r="B461" s="1132"/>
      <c r="C461" s="661"/>
      <c r="D461" s="628"/>
      <c r="E461" s="628"/>
      <c r="F461" s="628"/>
      <c r="G461" s="663"/>
      <c r="H461" s="628"/>
      <c r="I461" s="628"/>
      <c r="J461" s="628"/>
      <c r="K461" s="628"/>
      <c r="L461" s="673"/>
      <c r="X461" s="8"/>
      <c r="Y461" s="637"/>
    </row>
    <row r="462" spans="1:25" ht="15.6">
      <c r="A462" s="1128" t="s">
        <v>1638</v>
      </c>
      <c r="B462" s="978"/>
      <c r="C462" s="666" t="s">
        <v>1651</v>
      </c>
      <c r="D462" s="883"/>
      <c r="E462" s="883"/>
      <c r="F462" s="889"/>
      <c r="G462" s="884"/>
      <c r="H462" s="883"/>
      <c r="I462" s="883"/>
      <c r="J462" s="883"/>
      <c r="K462" s="628"/>
      <c r="L462" s="673">
        <f>L440+L449+L452+L456+L460+L445</f>
        <v>0</v>
      </c>
      <c r="X462" s="8"/>
      <c r="Y462" s="637"/>
    </row>
    <row r="463" spans="1:25" ht="15.6">
      <c r="A463" s="1128" t="s">
        <v>1629</v>
      </c>
      <c r="B463" s="1132"/>
      <c r="C463" s="666"/>
      <c r="D463" s="628"/>
      <c r="E463" s="628"/>
      <c r="F463" s="662"/>
      <c r="G463" s="663"/>
      <c r="H463" s="628"/>
      <c r="I463" s="628"/>
      <c r="J463" s="628"/>
      <c r="K463" s="628"/>
      <c r="L463" s="664"/>
      <c r="X463" s="8"/>
      <c r="Y463" s="637"/>
    </row>
    <row r="464" spans="1:25">
      <c r="A464" s="1128" t="s">
        <v>1639</v>
      </c>
      <c r="B464" s="978"/>
      <c r="C464" s="661" t="s">
        <v>928</v>
      </c>
      <c r="D464" s="628"/>
      <c r="E464" s="628"/>
      <c r="F464" s="662"/>
      <c r="G464" s="663"/>
      <c r="H464" s="628"/>
      <c r="I464" s="628"/>
      <c r="J464" s="628"/>
      <c r="K464" s="628"/>
      <c r="L464" s="682">
        <f>AppendixA!$H$212</f>
        <v>0.2658227848101265</v>
      </c>
      <c r="X464" s="8"/>
      <c r="Y464" s="637"/>
    </row>
    <row r="465" spans="1:25">
      <c r="A465" s="1128" t="s">
        <v>1640</v>
      </c>
      <c r="B465" s="978"/>
      <c r="C465" s="661" t="s">
        <v>929</v>
      </c>
      <c r="D465" s="628"/>
      <c r="E465" s="628"/>
      <c r="F465" s="662"/>
      <c r="G465" s="663"/>
      <c r="H465" s="628"/>
      <c r="I465" s="628"/>
      <c r="J465" s="628"/>
      <c r="K465" s="628"/>
      <c r="L465" s="677">
        <f>'6-WACC'!$G$16</f>
        <v>0.50515815125064667</v>
      </c>
      <c r="X465" s="8"/>
      <c r="Y465" s="637"/>
    </row>
    <row r="466" spans="1:25">
      <c r="A466" s="1128" t="s">
        <v>1641</v>
      </c>
      <c r="B466" s="978"/>
      <c r="C466" s="661" t="s">
        <v>1659</v>
      </c>
      <c r="D466" s="628"/>
      <c r="E466" s="628"/>
      <c r="F466" s="662"/>
      <c r="G466" s="663"/>
      <c r="H466" s="628"/>
      <c r="I466" s="628"/>
      <c r="J466" s="628"/>
      <c r="K466" s="628"/>
      <c r="L466" s="677">
        <f>((0.01/L464)*L465*100)</f>
        <v>1.9003568547048142</v>
      </c>
      <c r="X466" s="8"/>
      <c r="Y466" s="637"/>
    </row>
    <row r="467" spans="1:25">
      <c r="A467" s="1128" t="s">
        <v>1642</v>
      </c>
      <c r="B467" s="978"/>
      <c r="C467" s="661" t="s">
        <v>1660</v>
      </c>
      <c r="D467" s="628"/>
      <c r="E467" s="628"/>
      <c r="F467" s="662"/>
      <c r="G467" s="663"/>
      <c r="H467" s="628"/>
      <c r="I467" s="628"/>
      <c r="J467" s="628"/>
      <c r="K467" s="628"/>
      <c r="L467" s="673">
        <f>L423*L438</f>
        <v>0</v>
      </c>
      <c r="X467" s="8"/>
      <c r="Y467" s="637"/>
    </row>
    <row r="468" spans="1:25" ht="15.6">
      <c r="A468" s="1128" t="s">
        <v>1630</v>
      </c>
      <c r="B468" s="1132"/>
      <c r="C468" s="666"/>
      <c r="D468" s="628"/>
      <c r="E468" s="628"/>
      <c r="F468" s="662"/>
      <c r="G468" s="663"/>
      <c r="H468" s="628"/>
      <c r="I468" s="628"/>
      <c r="J468" s="628"/>
      <c r="K468" s="628"/>
      <c r="L468" s="673"/>
      <c r="X468" s="8"/>
      <c r="Y468" s="637"/>
    </row>
    <row r="469" spans="1:25" ht="15.6">
      <c r="A469" s="1128" t="s">
        <v>1643</v>
      </c>
      <c r="B469" s="978"/>
      <c r="C469" s="666" t="s">
        <v>1661</v>
      </c>
      <c r="D469" s="628"/>
      <c r="E469" s="628"/>
      <c r="F469" s="662"/>
      <c r="G469" s="663"/>
      <c r="H469" s="628"/>
      <c r="I469" s="628"/>
      <c r="J469" s="628"/>
      <c r="K469" s="628"/>
      <c r="L469" s="673">
        <f>L462+L467</f>
        <v>0</v>
      </c>
      <c r="X469" s="8"/>
      <c r="Y469" s="637"/>
    </row>
    <row r="470" spans="1:25" ht="15.6" thickBot="1">
      <c r="A470" s="1128"/>
      <c r="B470" s="1132"/>
      <c r="C470" s="667"/>
      <c r="D470" s="668"/>
      <c r="E470" s="668"/>
      <c r="F470" s="669"/>
      <c r="G470" s="670"/>
      <c r="H470" s="668"/>
      <c r="I470" s="668"/>
      <c r="J470" s="668"/>
      <c r="K470" s="668"/>
      <c r="L470" s="678"/>
      <c r="X470" s="8"/>
      <c r="Y470" s="637"/>
    </row>
    <row r="471" spans="1:25">
      <c r="A471" s="672"/>
      <c r="B471" s="672"/>
      <c r="C471" s="642"/>
      <c r="D471" s="628"/>
      <c r="E471" s="641"/>
      <c r="F471" s="628"/>
      <c r="G471" s="641"/>
      <c r="H471" s="628"/>
      <c r="I471" s="638"/>
      <c r="J471" s="638"/>
      <c r="K471" s="639"/>
      <c r="L471" s="638"/>
      <c r="W471" s="222"/>
      <c r="X471" s="222"/>
      <c r="Y471" s="222"/>
    </row>
    <row r="472" spans="1:25">
      <c r="A472" s="8" t="s">
        <v>941</v>
      </c>
      <c r="B472" s="8"/>
      <c r="C472" s="8"/>
      <c r="D472" s="8"/>
      <c r="E472" s="8"/>
      <c r="F472" s="8"/>
      <c r="G472" s="8"/>
      <c r="H472" s="8"/>
      <c r="I472" s="8"/>
      <c r="J472" s="8"/>
      <c r="K472" s="8"/>
      <c r="L472" s="8"/>
      <c r="M472" s="8"/>
      <c r="N472" s="640"/>
      <c r="O472" s="10"/>
      <c r="P472" s="222"/>
      <c r="Q472" s="222"/>
      <c r="R472" s="222"/>
      <c r="S472" s="222"/>
      <c r="T472" s="222"/>
      <c r="U472" s="10"/>
      <c r="V472" s="222"/>
      <c r="W472" s="222"/>
      <c r="X472" s="222"/>
      <c r="Y472" s="222"/>
    </row>
    <row r="473" spans="1:25">
      <c r="B473" s="10" t="s">
        <v>441</v>
      </c>
      <c r="C473" s="628"/>
      <c r="D473" s="628"/>
      <c r="E473" s="628"/>
      <c r="F473" s="628"/>
      <c r="G473" s="628"/>
      <c r="H473" s="628"/>
      <c r="I473" s="628"/>
      <c r="J473" s="628"/>
      <c r="K473" s="628"/>
      <c r="L473" s="628"/>
      <c r="M473" s="628"/>
      <c r="N473" s="640"/>
      <c r="O473" s="10"/>
      <c r="P473" s="222"/>
      <c r="Q473" s="222"/>
      <c r="R473" s="222"/>
      <c r="S473" s="222"/>
      <c r="T473" s="222"/>
      <c r="U473" s="10"/>
      <c r="V473" s="222"/>
      <c r="W473" s="222"/>
      <c r="X473" s="222"/>
      <c r="Y473" s="222"/>
    </row>
    <row r="474" spans="1:25">
      <c r="C474" s="628"/>
      <c r="D474" s="628"/>
      <c r="E474" s="628"/>
      <c r="F474" s="628"/>
      <c r="G474" s="10"/>
      <c r="H474" s="628"/>
      <c r="I474" s="628"/>
      <c r="J474" s="10" t="s">
        <v>917</v>
      </c>
      <c r="K474" s="628"/>
      <c r="L474" s="628"/>
      <c r="M474" s="628"/>
    </row>
    <row r="475" spans="1:25">
      <c r="C475" s="628"/>
      <c r="D475" s="628"/>
      <c r="E475" s="628"/>
      <c r="F475" s="628"/>
      <c r="G475" s="10"/>
      <c r="H475" s="628"/>
      <c r="I475" s="628"/>
      <c r="J475" s="647" t="s">
        <v>946</v>
      </c>
      <c r="K475" s="628"/>
      <c r="L475" s="628"/>
      <c r="M475" s="628"/>
    </row>
    <row r="476" spans="1:25" ht="15.6">
      <c r="B476" s="975" t="s">
        <v>983</v>
      </c>
      <c r="C476" s="975"/>
      <c r="D476" s="975"/>
      <c r="E476" s="975"/>
      <c r="F476" s="975"/>
      <c r="G476" s="975"/>
      <c r="H476" s="975"/>
      <c r="I476" s="975"/>
      <c r="J476" s="975"/>
      <c r="K476" s="975"/>
      <c r="L476" s="975"/>
      <c r="M476" s="975"/>
      <c r="N476" s="975"/>
      <c r="O476" s="975"/>
    </row>
    <row r="477" spans="1:25">
      <c r="B477" s="976" t="str">
        <f>$B$2</f>
        <v>(For Rate Year Beginning April 1, 2026, Based on December 31, 2025 Data)</v>
      </c>
      <c r="C477" s="976"/>
      <c r="D477" s="976"/>
      <c r="E477" s="976"/>
      <c r="F477" s="976"/>
      <c r="G477" s="976"/>
      <c r="H477" s="976"/>
      <c r="I477" s="976"/>
      <c r="J477" s="976"/>
      <c r="K477" s="976"/>
      <c r="L477" s="976"/>
      <c r="M477" s="976"/>
      <c r="N477" s="976"/>
      <c r="O477" s="976"/>
    </row>
    <row r="479" spans="1:25" ht="15.6">
      <c r="A479" s="1157" t="s">
        <v>986</v>
      </c>
      <c r="B479" s="1158"/>
      <c r="C479" s="1158"/>
      <c r="D479" s="1158"/>
      <c r="E479" s="1158"/>
      <c r="F479" s="1158"/>
    </row>
    <row r="481" spans="1:25">
      <c r="B481" s="6" t="s">
        <v>926</v>
      </c>
    </row>
    <row r="482" spans="1:25">
      <c r="B482" s="6" t="s">
        <v>927</v>
      </c>
    </row>
    <row r="483" spans="1:25">
      <c r="B483" s="6" t="s">
        <v>972</v>
      </c>
      <c r="R483" s="633"/>
    </row>
    <row r="484" spans="1:25">
      <c r="B484" s="6" t="s">
        <v>954</v>
      </c>
    </row>
    <row r="486" spans="1:25">
      <c r="A486" s="1130" t="s">
        <v>244</v>
      </c>
      <c r="B486" s="978"/>
    </row>
    <row r="487" spans="1:25" ht="6" customHeight="1" thickBot="1">
      <c r="A487" s="1131"/>
      <c r="B487" s="1131"/>
    </row>
    <row r="488" spans="1:25" ht="15.6" thickBot="1">
      <c r="A488" s="1128" t="s">
        <v>521</v>
      </c>
      <c r="B488" s="1129"/>
      <c r="C488" s="1149" t="s">
        <v>930</v>
      </c>
      <c r="D488" s="1150"/>
      <c r="E488" s="1151"/>
      <c r="F488" s="1151"/>
      <c r="G488" s="1151"/>
      <c r="H488" s="1151"/>
      <c r="I488" s="1151"/>
      <c r="J488" s="1151"/>
      <c r="K488" s="1151"/>
      <c r="L488" s="1152"/>
      <c r="M488" s="628"/>
      <c r="O488" s="633"/>
      <c r="P488" s="10"/>
      <c r="Q488" s="10"/>
      <c r="R488" s="10"/>
      <c r="S488" s="10"/>
      <c r="T488" s="10"/>
    </row>
    <row r="489" spans="1:25" ht="15.6" thickBot="1">
      <c r="A489" s="1131"/>
      <c r="B489" s="1162"/>
      <c r="C489" s="634"/>
      <c r="D489" s="628"/>
      <c r="E489" s="628"/>
      <c r="F489" s="1153" t="s">
        <v>177</v>
      </c>
      <c r="G489" s="1154"/>
      <c r="H489" s="628"/>
      <c r="I489" s="628"/>
      <c r="J489" s="628"/>
      <c r="K489" s="628"/>
      <c r="L489" s="635" t="s">
        <v>178</v>
      </c>
      <c r="M489" s="642"/>
      <c r="O489" s="633"/>
    </row>
    <row r="490" spans="1:25">
      <c r="A490" s="1128" t="s">
        <v>518</v>
      </c>
      <c r="B490" s="1129"/>
      <c r="C490" s="1155" t="s">
        <v>931</v>
      </c>
      <c r="D490" s="1156"/>
      <c r="E490" s="1156"/>
      <c r="F490" s="1159"/>
      <c r="G490" s="1160"/>
      <c r="H490" s="1161"/>
      <c r="I490" s="1156"/>
      <c r="J490" s="1156"/>
      <c r="K490" s="1156"/>
      <c r="L490" s="636"/>
      <c r="M490" s="721"/>
    </row>
    <row r="491" spans="1:25">
      <c r="A491" s="1128" t="s">
        <v>515</v>
      </c>
      <c r="B491" s="1129"/>
      <c r="C491" s="1145" t="s">
        <v>932</v>
      </c>
      <c r="D491" s="1146"/>
      <c r="E491" s="1146"/>
      <c r="F491" s="1133"/>
      <c r="G491" s="1134"/>
      <c r="H491" s="1148" t="s">
        <v>933</v>
      </c>
      <c r="I491" s="1146"/>
      <c r="J491" s="1146"/>
      <c r="K491" s="1146"/>
      <c r="L491" s="671">
        <v>0</v>
      </c>
      <c r="M491" s="724"/>
    </row>
    <row r="492" spans="1:25">
      <c r="A492" s="1128" t="s">
        <v>512</v>
      </c>
      <c r="B492" s="1129"/>
      <c r="C492" s="1145" t="s">
        <v>934</v>
      </c>
      <c r="D492" s="1146"/>
      <c r="E492" s="1146"/>
      <c r="F492" s="1147"/>
      <c r="G492" s="1134"/>
      <c r="H492" s="1148" t="s">
        <v>1632</v>
      </c>
      <c r="I492" s="1146"/>
      <c r="J492" s="1146"/>
      <c r="K492" s="1146"/>
      <c r="L492" s="674">
        <f>L491*L531</f>
        <v>0</v>
      </c>
      <c r="M492" s="722"/>
    </row>
    <row r="493" spans="1:25" ht="15.6" thickBot="1">
      <c r="A493" s="1128" t="s">
        <v>510</v>
      </c>
      <c r="B493" s="978"/>
      <c r="C493" s="1145" t="s">
        <v>935</v>
      </c>
      <c r="D493" s="1146"/>
      <c r="E493" s="1146"/>
      <c r="F493" s="1133"/>
      <c r="G493" s="1134"/>
      <c r="H493" s="1148"/>
      <c r="I493" s="1146"/>
      <c r="J493" s="1146"/>
      <c r="K493" s="1146"/>
      <c r="L493" s="664"/>
      <c r="M493" s="723"/>
    </row>
    <row r="494" spans="1:25" ht="15" customHeight="1">
      <c r="A494" s="1128" t="s">
        <v>96</v>
      </c>
      <c r="B494" s="978"/>
      <c r="C494" s="246" t="s">
        <v>1620</v>
      </c>
      <c r="D494" s="665"/>
      <c r="E494" s="665"/>
      <c r="F494" s="665"/>
      <c r="G494" s="665"/>
      <c r="H494" s="665"/>
      <c r="I494" s="665"/>
      <c r="J494" s="665"/>
      <c r="K494" s="665"/>
      <c r="L494" s="676">
        <f>+'11 - Facilities'!N388</f>
        <v>0</v>
      </c>
      <c r="X494" s="8"/>
      <c r="Y494" s="637"/>
    </row>
    <row r="495" spans="1:25">
      <c r="A495" s="1128" t="s">
        <v>95</v>
      </c>
      <c r="B495" s="978"/>
      <c r="C495" s="234" t="s">
        <v>956</v>
      </c>
      <c r="D495" s="628"/>
      <c r="E495" s="628"/>
      <c r="F495" s="628"/>
      <c r="G495" s="663"/>
      <c r="H495" s="628"/>
      <c r="I495" s="628"/>
      <c r="J495" s="628"/>
      <c r="K495" s="628"/>
      <c r="L495" s="673">
        <f>Inputs!$D$112</f>
        <v>85279144.388324827</v>
      </c>
      <c r="X495" s="8"/>
      <c r="Y495" s="637"/>
    </row>
    <row r="496" spans="1:25">
      <c r="A496" s="1128" t="s">
        <v>93</v>
      </c>
      <c r="B496" s="978"/>
      <c r="C496" s="234" t="s">
        <v>957</v>
      </c>
      <c r="D496" s="628"/>
      <c r="E496" s="628"/>
      <c r="F496" s="628"/>
      <c r="G496" s="663"/>
      <c r="H496" s="628"/>
      <c r="I496" s="628"/>
      <c r="J496" s="628"/>
      <c r="K496" s="628"/>
      <c r="L496" s="673">
        <f>Inputs!$D$113</f>
        <v>35519691.656922147</v>
      </c>
      <c r="X496" s="8"/>
      <c r="Y496" s="637"/>
    </row>
    <row r="497" spans="1:25" ht="15" customHeight="1">
      <c r="A497" s="1128" t="s">
        <v>92</v>
      </c>
      <c r="B497" s="978"/>
      <c r="C497" s="661" t="s">
        <v>975</v>
      </c>
      <c r="D497" s="628"/>
      <c r="E497" s="628"/>
      <c r="F497" s="628"/>
      <c r="G497" s="663"/>
      <c r="H497" s="628"/>
      <c r="I497" s="628"/>
      <c r="J497" s="628"/>
      <c r="K497" s="628"/>
      <c r="L497" s="673">
        <f>L495-L496</f>
        <v>49759452.73140268</v>
      </c>
      <c r="X497" s="8"/>
      <c r="Y497" s="637"/>
    </row>
    <row r="498" spans="1:25">
      <c r="A498" s="1128" t="s">
        <v>107</v>
      </c>
      <c r="B498" s="978"/>
      <c r="C498" s="661" t="s">
        <v>976</v>
      </c>
      <c r="D498" s="628"/>
      <c r="E498" s="628"/>
      <c r="F498" s="628"/>
      <c r="G498" s="663"/>
      <c r="H498" s="628"/>
      <c r="I498" s="628"/>
      <c r="J498" s="628"/>
      <c r="K498" s="628"/>
      <c r="L498" s="677">
        <f>L494/L497</f>
        <v>0</v>
      </c>
      <c r="X498" s="8"/>
      <c r="Y498" s="637"/>
    </row>
    <row r="499" spans="1:25">
      <c r="A499" s="1128" t="s">
        <v>105</v>
      </c>
      <c r="B499" s="978"/>
      <c r="C499" s="661"/>
      <c r="D499" s="628"/>
      <c r="E499" s="628"/>
      <c r="F499" s="628"/>
      <c r="G499" s="663"/>
      <c r="H499" s="628"/>
      <c r="I499" s="628"/>
      <c r="J499" s="628"/>
      <c r="K499" s="628"/>
      <c r="L499" s="677"/>
      <c r="X499" s="8"/>
      <c r="Y499" s="637"/>
    </row>
    <row r="500" spans="1:25" ht="15.6">
      <c r="A500" s="1128" t="s">
        <v>104</v>
      </c>
      <c r="B500" s="978"/>
      <c r="C500" s="666" t="s">
        <v>967</v>
      </c>
      <c r="D500" s="628"/>
      <c r="E500" s="628"/>
      <c r="F500" s="628"/>
      <c r="G500" s="663"/>
      <c r="H500" s="628"/>
      <c r="I500" s="628"/>
      <c r="J500" s="628"/>
      <c r="K500" s="628"/>
      <c r="L500" s="677"/>
      <c r="X500" s="8"/>
      <c r="Y500" s="637"/>
    </row>
    <row r="501" spans="1:25">
      <c r="A501" s="1128" t="s">
        <v>103</v>
      </c>
      <c r="B501" s="978"/>
      <c r="C501" s="661" t="s">
        <v>1622</v>
      </c>
      <c r="D501" s="628"/>
      <c r="E501" s="628"/>
      <c r="F501" s="628"/>
      <c r="G501" s="663"/>
      <c r="H501" s="628"/>
      <c r="I501" s="628"/>
      <c r="J501" s="628"/>
      <c r="K501" s="628"/>
      <c r="L501" s="673">
        <f>+AppendixA!$H$48-AppendixA!$H$62</f>
        <v>701728.60760892951</v>
      </c>
      <c r="X501" s="8"/>
      <c r="Y501" s="637"/>
    </row>
    <row r="502" spans="1:25">
      <c r="A502" s="1128" t="s">
        <v>727</v>
      </c>
      <c r="B502" s="978"/>
      <c r="C502" s="661" t="s">
        <v>1623</v>
      </c>
      <c r="D502" s="628"/>
      <c r="E502" s="628"/>
      <c r="F502" s="628"/>
      <c r="G502" s="663"/>
      <c r="H502" s="628"/>
      <c r="I502" s="628"/>
      <c r="J502" s="628"/>
      <c r="K502" s="628"/>
      <c r="L502" s="673">
        <f>+L501*L498</f>
        <v>0</v>
      </c>
      <c r="X502" s="8"/>
      <c r="Y502" s="637"/>
    </row>
    <row r="503" spans="1:25">
      <c r="A503" s="1128" t="s">
        <v>728</v>
      </c>
      <c r="B503" s="978"/>
      <c r="C503" s="880"/>
      <c r="D503" s="628"/>
      <c r="E503" s="628"/>
      <c r="F503" s="628"/>
      <c r="G503" s="663"/>
      <c r="H503" s="628"/>
      <c r="I503" s="628"/>
      <c r="J503" s="628"/>
      <c r="K503" s="628"/>
      <c r="L503" s="890"/>
      <c r="X503" s="8"/>
      <c r="Y503" s="637"/>
    </row>
    <row r="504" spans="1:25" ht="15.6">
      <c r="A504" s="1128" t="s">
        <v>745</v>
      </c>
      <c r="B504" s="1132"/>
      <c r="C504" s="666" t="s">
        <v>1644</v>
      </c>
      <c r="D504" s="628"/>
      <c r="E504" s="628"/>
      <c r="F504" s="628"/>
      <c r="G504" s="663"/>
      <c r="H504" s="628"/>
      <c r="I504" s="628"/>
      <c r="J504" s="628"/>
      <c r="K504" s="628"/>
      <c r="L504" s="664"/>
      <c r="X504" s="8"/>
      <c r="Y504" s="637"/>
    </row>
    <row r="505" spans="1:25">
      <c r="A505" s="1128" t="s">
        <v>746</v>
      </c>
      <c r="B505" s="1132"/>
      <c r="C505" s="661" t="s">
        <v>958</v>
      </c>
      <c r="D505" s="628"/>
      <c r="E505" s="628"/>
      <c r="F505" s="628"/>
      <c r="G505" s="663"/>
      <c r="H505" s="628"/>
      <c r="I505" s="628"/>
      <c r="J505" s="628"/>
      <c r="K505" s="628"/>
      <c r="L505" s="673">
        <f>AppendixA!$H$95</f>
        <v>-5612988.9467919813</v>
      </c>
      <c r="X505" s="8"/>
      <c r="Y505" s="637"/>
    </row>
    <row r="506" spans="1:25">
      <c r="A506" s="1128" t="s">
        <v>747</v>
      </c>
      <c r="B506" s="1132"/>
      <c r="C506" s="661" t="s">
        <v>1655</v>
      </c>
      <c r="D506" s="628"/>
      <c r="E506" s="628"/>
      <c r="F506" s="628"/>
      <c r="G506" s="663"/>
      <c r="H506" s="628"/>
      <c r="I506" s="628"/>
      <c r="J506" s="628"/>
      <c r="K506" s="628"/>
      <c r="L506" s="673">
        <f>L505*L498</f>
        <v>0</v>
      </c>
      <c r="X506" s="8"/>
      <c r="Y506" s="637"/>
    </row>
    <row r="507" spans="1:25">
      <c r="A507" s="1128" t="s">
        <v>748</v>
      </c>
      <c r="B507" s="978"/>
      <c r="C507" s="661" t="s">
        <v>1656</v>
      </c>
      <c r="D507" s="628"/>
      <c r="E507" s="628"/>
      <c r="F507" s="628"/>
      <c r="G507" s="663"/>
      <c r="H507" s="628"/>
      <c r="I507" s="628"/>
      <c r="J507" s="628"/>
      <c r="K507" s="628"/>
      <c r="L507" s="673">
        <f>L494+L506+L502</f>
        <v>0</v>
      </c>
      <c r="X507" s="8"/>
      <c r="Y507" s="637"/>
    </row>
    <row r="508" spans="1:25">
      <c r="A508" s="1128" t="s">
        <v>749</v>
      </c>
      <c r="B508" s="978"/>
      <c r="C508" s="661" t="s">
        <v>959</v>
      </c>
      <c r="D508" s="628"/>
      <c r="E508" s="628"/>
      <c r="F508" s="628"/>
      <c r="G508" s="663"/>
      <c r="H508" s="628"/>
      <c r="I508" s="628"/>
      <c r="J508" s="628"/>
      <c r="K508" s="628"/>
      <c r="L508" s="677">
        <f>AppendixA!$H$182</f>
        <v>7.3603939048291073E-2</v>
      </c>
      <c r="X508" s="8"/>
      <c r="Y508" s="637"/>
    </row>
    <row r="509" spans="1:25">
      <c r="A509" s="1128" t="s">
        <v>750</v>
      </c>
      <c r="B509" s="978"/>
      <c r="C509" s="661" t="s">
        <v>1657</v>
      </c>
      <c r="D509" s="628"/>
      <c r="E509" s="628"/>
      <c r="F509" s="628"/>
      <c r="G509" s="663"/>
      <c r="H509" s="628"/>
      <c r="I509" s="628"/>
      <c r="J509" s="628"/>
      <c r="K509" s="628"/>
      <c r="L509" s="673">
        <f>L507*L508</f>
        <v>0</v>
      </c>
      <c r="X509" s="8"/>
      <c r="Y509" s="637"/>
    </row>
    <row r="510" spans="1:25">
      <c r="A510" s="878"/>
      <c r="B510" s="882" t="s">
        <v>751</v>
      </c>
      <c r="C510" s="661"/>
      <c r="D510" s="628"/>
      <c r="E510" s="628"/>
      <c r="F510" s="628"/>
      <c r="G510" s="663"/>
      <c r="H510" s="628"/>
      <c r="I510" s="628"/>
      <c r="J510" s="628"/>
      <c r="K510" s="628"/>
      <c r="L510" s="673"/>
      <c r="X510" s="8"/>
      <c r="Y510" s="637"/>
    </row>
    <row r="511" spans="1:25" ht="15.6">
      <c r="A511" s="1128" t="s">
        <v>936</v>
      </c>
      <c r="B511" s="978"/>
      <c r="C511" s="666" t="s">
        <v>1645</v>
      </c>
      <c r="D511" s="628"/>
      <c r="E511" s="628"/>
      <c r="F511" s="628"/>
      <c r="G511" s="663"/>
      <c r="H511" s="628"/>
      <c r="I511" s="628"/>
      <c r="J511" s="628"/>
      <c r="K511" s="628"/>
      <c r="L511" s="673"/>
      <c r="X511" s="8"/>
      <c r="Y511" s="637"/>
    </row>
    <row r="512" spans="1:25">
      <c r="A512" s="1128">
        <v>24</v>
      </c>
      <c r="B512" s="978"/>
      <c r="C512" s="661" t="s">
        <v>1647</v>
      </c>
      <c r="D512" s="628"/>
      <c r="E512" s="628"/>
      <c r="F512" s="628"/>
      <c r="G512" s="663"/>
      <c r="H512" s="628"/>
      <c r="I512" s="628"/>
      <c r="J512" s="628"/>
      <c r="K512" s="628"/>
      <c r="L512" s="673">
        <f>+AppendixA!$H$141</f>
        <v>62220.916888344676</v>
      </c>
      <c r="X512" s="8"/>
      <c r="Y512" s="637"/>
    </row>
    <row r="513" spans="1:25">
      <c r="A513" s="1128" t="s">
        <v>937</v>
      </c>
      <c r="B513" s="978"/>
      <c r="C513" s="885"/>
      <c r="D513" s="886"/>
      <c r="E513" s="886"/>
      <c r="F513" s="886"/>
      <c r="G513" s="887"/>
      <c r="H513" s="886"/>
      <c r="I513" s="886"/>
      <c r="J513" s="886"/>
      <c r="K513" s="886"/>
      <c r="L513" s="888"/>
      <c r="X513" s="8"/>
      <c r="Y513" s="637"/>
    </row>
    <row r="514" spans="1:25">
      <c r="A514" s="1128" t="s">
        <v>938</v>
      </c>
      <c r="B514" s="978"/>
      <c r="C514" s="661" t="s">
        <v>1646</v>
      </c>
      <c r="D514" s="628"/>
      <c r="E514" s="628"/>
      <c r="F514" s="628"/>
      <c r="G514" s="663"/>
      <c r="H514" s="628"/>
      <c r="I514" s="628"/>
      <c r="J514" s="628"/>
      <c r="K514" s="628"/>
      <c r="L514" s="673">
        <f>+L512*L498</f>
        <v>0</v>
      </c>
      <c r="X514" s="8"/>
      <c r="Y514" s="637"/>
    </row>
    <row r="515" spans="1:25">
      <c r="A515" s="1128" t="s">
        <v>939</v>
      </c>
      <c r="B515" s="978"/>
      <c r="C515" s="661"/>
      <c r="D515" s="628"/>
      <c r="E515" s="628"/>
      <c r="F515" s="628"/>
      <c r="G515" s="663"/>
      <c r="H515" s="628"/>
      <c r="I515" s="628"/>
      <c r="J515" s="628"/>
      <c r="K515" s="628"/>
      <c r="L515" s="664"/>
      <c r="X515" s="8"/>
      <c r="Y515" s="637"/>
    </row>
    <row r="516" spans="1:25" ht="15.6">
      <c r="A516" s="1128" t="s">
        <v>940</v>
      </c>
      <c r="B516" s="978"/>
      <c r="C516" s="666" t="s">
        <v>960</v>
      </c>
      <c r="D516" s="628"/>
      <c r="E516" s="628"/>
      <c r="F516" s="628"/>
      <c r="G516" s="663"/>
      <c r="H516" s="628"/>
      <c r="I516" s="628"/>
      <c r="J516" s="628"/>
      <c r="K516" s="628"/>
      <c r="L516" s="664"/>
      <c r="X516" s="8"/>
      <c r="Y516" s="637"/>
    </row>
    <row r="517" spans="1:25">
      <c r="A517" s="1128" t="s">
        <v>968</v>
      </c>
      <c r="B517" s="978"/>
      <c r="C517" s="661" t="s">
        <v>961</v>
      </c>
      <c r="D517" s="628"/>
      <c r="E517" s="628"/>
      <c r="F517" s="628"/>
      <c r="G517" s="663"/>
      <c r="H517" s="628"/>
      <c r="I517" s="628"/>
      <c r="J517" s="628"/>
      <c r="K517" s="628"/>
      <c r="L517" s="673">
        <f>AppendixA!$H$130</f>
        <v>1172367.8913758555</v>
      </c>
      <c r="X517" s="8"/>
      <c r="Y517" s="637"/>
    </row>
    <row r="518" spans="1:25">
      <c r="A518" s="1128" t="s">
        <v>969</v>
      </c>
      <c r="B518" s="978"/>
      <c r="C518" s="661" t="s">
        <v>1658</v>
      </c>
      <c r="D518" s="628"/>
      <c r="E518" s="628"/>
      <c r="F518" s="628"/>
      <c r="G518" s="663"/>
      <c r="H518" s="628"/>
      <c r="I518" s="628"/>
      <c r="J518" s="628"/>
      <c r="K518" s="628"/>
      <c r="L518" s="673">
        <f>L498*L517</f>
        <v>0</v>
      </c>
      <c r="X518" s="8"/>
      <c r="Y518" s="637"/>
    </row>
    <row r="519" spans="1:25">
      <c r="A519" s="1128" t="s">
        <v>970</v>
      </c>
      <c r="B519" s="978"/>
      <c r="C519" s="661"/>
      <c r="D519" s="628"/>
      <c r="E519" s="628"/>
      <c r="F519" s="628"/>
      <c r="G519" s="663"/>
      <c r="H519" s="628"/>
      <c r="I519" s="628"/>
      <c r="J519" s="628"/>
      <c r="K519" s="628"/>
      <c r="L519" s="664"/>
      <c r="X519" s="8"/>
      <c r="Y519" s="637"/>
    </row>
    <row r="520" spans="1:25" ht="15.6">
      <c r="A520" s="1128" t="s">
        <v>971</v>
      </c>
      <c r="B520" s="978"/>
      <c r="C520" s="666" t="s">
        <v>1621</v>
      </c>
      <c r="D520" s="628"/>
      <c r="E520" s="628"/>
      <c r="F520" s="628"/>
      <c r="G520" s="663"/>
      <c r="H520" s="628"/>
      <c r="I520" s="628"/>
      <c r="J520" s="628"/>
      <c r="K520" s="628"/>
      <c r="L520" s="664"/>
      <c r="X520" s="8"/>
      <c r="Y520" s="637"/>
    </row>
    <row r="521" spans="1:25">
      <c r="A521" s="1128" t="s">
        <v>1633</v>
      </c>
      <c r="B521" s="978"/>
      <c r="C521" s="661" t="s">
        <v>1648</v>
      </c>
      <c r="D521" s="628"/>
      <c r="E521" s="628"/>
      <c r="F521" s="628"/>
      <c r="G521" s="663"/>
      <c r="H521" s="628"/>
      <c r="I521" s="628"/>
      <c r="J521" s="628"/>
      <c r="K521" s="628"/>
      <c r="L521" s="675">
        <f>+'11 - Facilities'!O388</f>
        <v>0</v>
      </c>
      <c r="X521" s="8"/>
      <c r="Y521" s="637"/>
    </row>
    <row r="522" spans="1:25">
      <c r="A522" s="1128" t="s">
        <v>1624</v>
      </c>
      <c r="B522" s="978"/>
      <c r="C522" s="661"/>
      <c r="D522" s="628"/>
      <c r="E522" s="628"/>
      <c r="F522" s="628"/>
      <c r="G522" s="663"/>
      <c r="H522" s="628"/>
      <c r="I522" s="628"/>
      <c r="J522" s="628"/>
      <c r="K522" s="628"/>
      <c r="L522" s="673"/>
      <c r="X522" s="8"/>
      <c r="Y522" s="637"/>
    </row>
    <row r="523" spans="1:25" ht="15.6">
      <c r="A523" s="1128" t="s">
        <v>1625</v>
      </c>
      <c r="B523" s="1132"/>
      <c r="C523" s="666" t="s">
        <v>962</v>
      </c>
      <c r="D523" s="628"/>
      <c r="E523" s="628"/>
      <c r="F523" s="628"/>
      <c r="G523" s="663"/>
      <c r="H523" s="628"/>
      <c r="I523" s="628"/>
      <c r="J523" s="628"/>
      <c r="K523" s="628"/>
      <c r="L523" s="673"/>
      <c r="X523" s="8"/>
      <c r="Y523" s="637"/>
    </row>
    <row r="524" spans="1:25">
      <c r="A524" s="1128" t="s">
        <v>1634</v>
      </c>
      <c r="B524" s="978"/>
      <c r="C524" s="661" t="s">
        <v>963</v>
      </c>
      <c r="D524" s="628"/>
      <c r="E524" s="628"/>
      <c r="F524" s="628"/>
      <c r="G524" s="663"/>
      <c r="H524" s="628"/>
      <c r="I524" s="628"/>
      <c r="J524" s="628"/>
      <c r="K524" s="628"/>
      <c r="L524" s="673">
        <f>AppendixA!$H$149</f>
        <v>420701.86116179236</v>
      </c>
      <c r="X524" s="8"/>
      <c r="Y524" s="637"/>
    </row>
    <row r="525" spans="1:25">
      <c r="A525" s="1128" t="s">
        <v>1635</v>
      </c>
      <c r="B525" s="978"/>
      <c r="C525" s="661" t="s">
        <v>1649</v>
      </c>
      <c r="D525" s="628"/>
      <c r="E525" s="628"/>
      <c r="F525" s="628"/>
      <c r="G525" s="663"/>
      <c r="H525" s="883"/>
      <c r="I525" s="628"/>
      <c r="J525" s="628"/>
      <c r="K525" s="628"/>
      <c r="L525" s="673">
        <f>L498*L524</f>
        <v>0</v>
      </c>
      <c r="X525" s="8"/>
      <c r="Y525" s="637"/>
    </row>
    <row r="526" spans="1:25">
      <c r="A526" s="1128" t="s">
        <v>1626</v>
      </c>
      <c r="B526" s="978"/>
      <c r="C526" s="661"/>
      <c r="D526" s="628"/>
      <c r="E526" s="628"/>
      <c r="F526" s="628"/>
      <c r="G526" s="663"/>
      <c r="H526" s="628"/>
      <c r="I526" s="628"/>
      <c r="J526" s="628"/>
      <c r="K526" s="628"/>
      <c r="L526" s="673"/>
      <c r="X526" s="8"/>
      <c r="Y526" s="637"/>
    </row>
    <row r="527" spans="1:25" ht="15.6">
      <c r="A527" s="1128" t="s">
        <v>1627</v>
      </c>
      <c r="B527" s="1132"/>
      <c r="C527" s="666" t="s">
        <v>964</v>
      </c>
      <c r="D527" s="628"/>
      <c r="E527" s="628"/>
      <c r="F527" s="628"/>
      <c r="G527" s="663"/>
      <c r="H527" s="628"/>
      <c r="I527" s="628"/>
      <c r="J527" s="628"/>
      <c r="K527" s="628"/>
      <c r="L527" s="673"/>
      <c r="X527" s="8"/>
      <c r="Y527" s="637"/>
    </row>
    <row r="528" spans="1:25">
      <c r="A528" s="1128" t="s">
        <v>1636</v>
      </c>
      <c r="B528" s="978"/>
      <c r="C528" s="661" t="s">
        <v>965</v>
      </c>
      <c r="D528" s="628"/>
      <c r="E528" s="628"/>
      <c r="F528" s="628"/>
      <c r="G528" s="663"/>
      <c r="H528" s="628"/>
      <c r="I528" s="628"/>
      <c r="J528" s="628"/>
      <c r="K528" s="628"/>
      <c r="L528" s="673">
        <f>AppendixA!$H$228</f>
        <v>524818.20552830724</v>
      </c>
      <c r="X528" s="8"/>
      <c r="Y528" s="637"/>
    </row>
    <row r="529" spans="1:25">
      <c r="A529" s="1128" t="s">
        <v>1637</v>
      </c>
      <c r="B529" s="978"/>
      <c r="C529" s="661" t="s">
        <v>1650</v>
      </c>
      <c r="D529" s="628"/>
      <c r="E529" s="628"/>
      <c r="F529" s="628"/>
      <c r="G529" s="663"/>
      <c r="H529" s="628"/>
      <c r="I529" s="628"/>
      <c r="J529" s="628"/>
      <c r="K529" s="628"/>
      <c r="L529" s="673">
        <f>L498*L528</f>
        <v>0</v>
      </c>
      <c r="X529" s="8"/>
      <c r="Y529" s="637"/>
    </row>
    <row r="530" spans="1:25">
      <c r="A530" s="1128" t="s">
        <v>1628</v>
      </c>
      <c r="B530" s="1132"/>
      <c r="C530" s="661"/>
      <c r="D530" s="628"/>
      <c r="E530" s="628"/>
      <c r="F530" s="628"/>
      <c r="G530" s="663"/>
      <c r="H530" s="628"/>
      <c r="I530" s="628"/>
      <c r="J530" s="628"/>
      <c r="K530" s="628"/>
      <c r="L530" s="673"/>
      <c r="X530" s="8"/>
      <c r="Y530" s="637"/>
    </row>
    <row r="531" spans="1:25" ht="15.6">
      <c r="A531" s="1128" t="s">
        <v>1638</v>
      </c>
      <c r="B531" s="978"/>
      <c r="C531" s="666" t="s">
        <v>1651</v>
      </c>
      <c r="D531" s="883"/>
      <c r="E531" s="883"/>
      <c r="F531" s="889"/>
      <c r="G531" s="884"/>
      <c r="H531" s="883"/>
      <c r="I531" s="883"/>
      <c r="J531" s="883"/>
      <c r="K531" s="628"/>
      <c r="L531" s="673">
        <f>L509+L518+L521+L525+L529+L514</f>
        <v>0</v>
      </c>
      <c r="X531" s="8"/>
      <c r="Y531" s="637"/>
    </row>
    <row r="532" spans="1:25" ht="15.6">
      <c r="A532" s="1128" t="s">
        <v>1629</v>
      </c>
      <c r="B532" s="1132"/>
      <c r="C532" s="666"/>
      <c r="D532" s="628"/>
      <c r="E532" s="628"/>
      <c r="F532" s="662"/>
      <c r="G532" s="663"/>
      <c r="H532" s="628"/>
      <c r="I532" s="628"/>
      <c r="J532" s="628"/>
      <c r="K532" s="628"/>
      <c r="L532" s="664"/>
      <c r="X532" s="8"/>
      <c r="Y532" s="637"/>
    </row>
    <row r="533" spans="1:25">
      <c r="A533" s="1128" t="s">
        <v>1639</v>
      </c>
      <c r="B533" s="978"/>
      <c r="C533" s="661" t="s">
        <v>928</v>
      </c>
      <c r="D533" s="628"/>
      <c r="E533" s="628"/>
      <c r="F533" s="662"/>
      <c r="G533" s="663"/>
      <c r="H533" s="628"/>
      <c r="I533" s="628"/>
      <c r="J533" s="628"/>
      <c r="K533" s="628"/>
      <c r="L533" s="682">
        <f>AppendixA!$H$212</f>
        <v>0.2658227848101265</v>
      </c>
      <c r="X533" s="8"/>
      <c r="Y533" s="637"/>
    </row>
    <row r="534" spans="1:25">
      <c r="A534" s="1128" t="s">
        <v>1640</v>
      </c>
      <c r="B534" s="978"/>
      <c r="C534" s="661" t="s">
        <v>929</v>
      </c>
      <c r="D534" s="628"/>
      <c r="E534" s="628"/>
      <c r="F534" s="662"/>
      <c r="G534" s="663"/>
      <c r="H534" s="628"/>
      <c r="I534" s="628"/>
      <c r="J534" s="628"/>
      <c r="K534" s="628"/>
      <c r="L534" s="677">
        <f>'6-WACC'!$G$16</f>
        <v>0.50515815125064667</v>
      </c>
      <c r="X534" s="8"/>
      <c r="Y534" s="637"/>
    </row>
    <row r="535" spans="1:25">
      <c r="A535" s="1128" t="s">
        <v>1641</v>
      </c>
      <c r="B535" s="978"/>
      <c r="C535" s="661" t="s">
        <v>1659</v>
      </c>
      <c r="D535" s="628"/>
      <c r="E535" s="628"/>
      <c r="F535" s="662"/>
      <c r="G535" s="663"/>
      <c r="H535" s="628"/>
      <c r="I535" s="628"/>
      <c r="J535" s="628"/>
      <c r="K535" s="628"/>
      <c r="L535" s="677">
        <f>((0.01/L533)*L534*100)</f>
        <v>1.9003568547048142</v>
      </c>
      <c r="X535" s="8"/>
      <c r="Y535" s="637"/>
    </row>
    <row r="536" spans="1:25">
      <c r="A536" s="1128" t="s">
        <v>1642</v>
      </c>
      <c r="B536" s="978"/>
      <c r="C536" s="661" t="s">
        <v>1660</v>
      </c>
      <c r="D536" s="628"/>
      <c r="E536" s="628"/>
      <c r="F536" s="662"/>
      <c r="G536" s="663"/>
      <c r="H536" s="628"/>
      <c r="I536" s="628"/>
      <c r="J536" s="628"/>
      <c r="K536" s="628"/>
      <c r="L536" s="673">
        <f>L492*L507</f>
        <v>0</v>
      </c>
      <c r="X536" s="8"/>
      <c r="Y536" s="637"/>
    </row>
    <row r="537" spans="1:25" ht="15.6">
      <c r="A537" s="1128" t="s">
        <v>1630</v>
      </c>
      <c r="B537" s="1132"/>
      <c r="C537" s="666"/>
      <c r="D537" s="628"/>
      <c r="E537" s="628"/>
      <c r="F537" s="662"/>
      <c r="G537" s="663"/>
      <c r="H537" s="628"/>
      <c r="I537" s="628"/>
      <c r="J537" s="628"/>
      <c r="K537" s="628"/>
      <c r="L537" s="673"/>
      <c r="X537" s="8"/>
      <c r="Y537" s="637"/>
    </row>
    <row r="538" spans="1:25" ht="15.6">
      <c r="A538" s="1128" t="s">
        <v>1643</v>
      </c>
      <c r="B538" s="978"/>
      <c r="C538" s="666" t="s">
        <v>1661</v>
      </c>
      <c r="D538" s="628"/>
      <c r="E538" s="628"/>
      <c r="F538" s="662"/>
      <c r="G538" s="663"/>
      <c r="H538" s="628"/>
      <c r="I538" s="628"/>
      <c r="J538" s="628"/>
      <c r="K538" s="628"/>
      <c r="L538" s="673">
        <f>L531+L536</f>
        <v>0</v>
      </c>
      <c r="X538" s="8"/>
      <c r="Y538" s="637"/>
    </row>
    <row r="539" spans="1:25" ht="15.6" thickBot="1">
      <c r="A539" s="1128"/>
      <c r="B539" s="1132"/>
      <c r="C539" s="667"/>
      <c r="D539" s="668"/>
      <c r="E539" s="668"/>
      <c r="F539" s="669"/>
      <c r="G539" s="670"/>
      <c r="H539" s="668"/>
      <c r="I539" s="668"/>
      <c r="J539" s="668"/>
      <c r="K539" s="668"/>
      <c r="L539" s="678"/>
      <c r="X539" s="8"/>
      <c r="Y539" s="637"/>
    </row>
    <row r="540" spans="1:25">
      <c r="A540" s="672"/>
      <c r="B540" s="672"/>
      <c r="C540" s="642"/>
      <c r="D540" s="628"/>
      <c r="E540" s="641"/>
      <c r="F540" s="628"/>
      <c r="G540" s="641"/>
      <c r="H540" s="628"/>
      <c r="I540" s="638"/>
      <c r="J540" s="638"/>
      <c r="K540" s="639"/>
      <c r="L540" s="638"/>
      <c r="W540" s="222"/>
      <c r="X540" s="222"/>
      <c r="Y540" s="222"/>
    </row>
    <row r="541" spans="1:25">
      <c r="A541" s="8" t="s">
        <v>941</v>
      </c>
      <c r="B541" s="8"/>
      <c r="C541" s="8"/>
      <c r="D541" s="8"/>
      <c r="E541" s="8"/>
      <c r="F541" s="8"/>
      <c r="G541" s="8"/>
      <c r="H541" s="8"/>
      <c r="I541" s="8"/>
      <c r="J541" s="8"/>
      <c r="K541" s="8"/>
      <c r="L541" s="8"/>
      <c r="M541" s="8"/>
      <c r="N541" s="640"/>
      <c r="O541" s="10"/>
      <c r="P541" s="222"/>
      <c r="Q541" s="222"/>
      <c r="R541" s="222"/>
      <c r="S541" s="222"/>
      <c r="T541" s="222"/>
      <c r="U541" s="10"/>
      <c r="V541" s="222"/>
      <c r="W541" s="222"/>
      <c r="X541" s="222"/>
      <c r="Y541" s="222"/>
    </row>
    <row r="542" spans="1:25">
      <c r="B542" s="10" t="s">
        <v>441</v>
      </c>
      <c r="C542" s="628"/>
      <c r="D542" s="628"/>
      <c r="E542" s="628"/>
      <c r="F542" s="628"/>
      <c r="G542" s="628"/>
      <c r="H542" s="628"/>
      <c r="I542" s="628"/>
      <c r="J542" s="628"/>
      <c r="K542" s="628"/>
      <c r="L542" s="628"/>
      <c r="M542" s="628"/>
      <c r="N542" s="640"/>
      <c r="O542" s="10"/>
      <c r="P542" s="222"/>
      <c r="Q542" s="222"/>
      <c r="R542" s="222"/>
      <c r="S542" s="222"/>
      <c r="T542" s="222"/>
      <c r="U542" s="10"/>
      <c r="V542" s="222"/>
      <c r="W542" s="222"/>
      <c r="X542" s="222"/>
      <c r="Y542" s="222"/>
    </row>
    <row r="543" spans="1:25">
      <c r="C543" s="628"/>
      <c r="D543" s="628"/>
      <c r="E543" s="628"/>
      <c r="F543" s="628"/>
      <c r="G543" s="10"/>
      <c r="H543" s="628"/>
      <c r="I543" s="628"/>
      <c r="J543" s="10" t="s">
        <v>917</v>
      </c>
      <c r="K543" s="628"/>
      <c r="L543" s="628"/>
      <c r="M543" s="628"/>
    </row>
    <row r="544" spans="1:25">
      <c r="C544" s="628"/>
      <c r="D544" s="628"/>
      <c r="E544" s="628"/>
      <c r="F544" s="628"/>
      <c r="G544" s="10"/>
      <c r="H544" s="628"/>
      <c r="I544" s="628"/>
      <c r="J544" s="647" t="s">
        <v>947</v>
      </c>
      <c r="K544" s="628"/>
      <c r="L544" s="628"/>
      <c r="M544" s="628"/>
    </row>
    <row r="545" spans="1:15" ht="15.6">
      <c r="B545" s="975" t="s">
        <v>983</v>
      </c>
      <c r="C545" s="975"/>
      <c r="D545" s="975"/>
      <c r="E545" s="975"/>
      <c r="F545" s="975"/>
      <c r="G545" s="975"/>
      <c r="H545" s="975"/>
      <c r="I545" s="975"/>
      <c r="J545" s="975"/>
      <c r="K545" s="975"/>
      <c r="L545" s="975"/>
      <c r="M545" s="975"/>
      <c r="N545" s="975"/>
      <c r="O545" s="975"/>
    </row>
    <row r="546" spans="1:15">
      <c r="B546" s="976" t="str">
        <f>$B$2</f>
        <v>(For Rate Year Beginning April 1, 2026, Based on December 31, 2025 Data)</v>
      </c>
      <c r="C546" s="976"/>
      <c r="D546" s="976"/>
      <c r="E546" s="976"/>
      <c r="F546" s="976"/>
      <c r="G546" s="976"/>
      <c r="H546" s="976"/>
      <c r="I546" s="976"/>
      <c r="J546" s="976"/>
      <c r="K546" s="976"/>
      <c r="L546" s="976"/>
      <c r="M546" s="976"/>
      <c r="N546" s="976"/>
      <c r="O546" s="976"/>
    </row>
    <row r="548" spans="1:15" ht="15.6">
      <c r="A548" s="1157" t="s">
        <v>986</v>
      </c>
      <c r="B548" s="1158"/>
      <c r="C548" s="1158"/>
      <c r="D548" s="1158"/>
      <c r="E548" s="1158"/>
      <c r="F548" s="1158"/>
    </row>
    <row r="550" spans="1:15">
      <c r="B550" s="6" t="s">
        <v>926</v>
      </c>
    </row>
    <row r="551" spans="1:15">
      <c r="B551" s="6" t="s">
        <v>927</v>
      </c>
    </row>
    <row r="552" spans="1:15">
      <c r="B552" s="6" t="s">
        <v>972</v>
      </c>
    </row>
    <row r="553" spans="1:15">
      <c r="B553" s="6" t="s">
        <v>954</v>
      </c>
    </row>
    <row r="555" spans="1:15">
      <c r="A555" s="1130" t="s">
        <v>244</v>
      </c>
      <c r="B555" s="978"/>
    </row>
    <row r="556" spans="1:15" ht="6" customHeight="1" thickBot="1">
      <c r="A556" s="1131"/>
      <c r="B556" s="1131"/>
    </row>
    <row r="557" spans="1:15" ht="15.6" thickBot="1">
      <c r="A557" s="1128" t="s">
        <v>521</v>
      </c>
      <c r="B557" s="1129"/>
      <c r="C557" s="1149" t="s">
        <v>930</v>
      </c>
      <c r="D557" s="1150"/>
      <c r="E557" s="1151"/>
      <c r="F557" s="1151"/>
      <c r="G557" s="1151"/>
      <c r="H557" s="1151"/>
      <c r="I557" s="1151"/>
      <c r="J557" s="1151"/>
      <c r="K557" s="1151"/>
      <c r="L557" s="1152"/>
      <c r="M557" s="628"/>
      <c r="O557" s="633"/>
    </row>
    <row r="558" spans="1:15" ht="15.6" thickBot="1">
      <c r="A558" s="1131"/>
      <c r="B558" s="1162"/>
      <c r="C558" s="634"/>
      <c r="D558" s="628"/>
      <c r="E558" s="628"/>
      <c r="F558" s="1153" t="s">
        <v>177</v>
      </c>
      <c r="G558" s="1154"/>
      <c r="H558" s="628"/>
      <c r="I558" s="628"/>
      <c r="J558" s="628"/>
      <c r="K558" s="628"/>
      <c r="L558" s="635" t="s">
        <v>178</v>
      </c>
      <c r="M558" s="642"/>
      <c r="O558" s="633"/>
    </row>
    <row r="559" spans="1:15">
      <c r="A559" s="1128" t="s">
        <v>518</v>
      </c>
      <c r="B559" s="1129"/>
      <c r="C559" s="1155" t="s">
        <v>931</v>
      </c>
      <c r="D559" s="1156"/>
      <c r="E559" s="1156"/>
      <c r="F559" s="1159"/>
      <c r="G559" s="1160"/>
      <c r="H559" s="1161"/>
      <c r="I559" s="1156"/>
      <c r="J559" s="1156"/>
      <c r="K559" s="1156"/>
      <c r="L559" s="636"/>
      <c r="M559" s="721"/>
    </row>
    <row r="560" spans="1:15">
      <c r="A560" s="1128" t="s">
        <v>515</v>
      </c>
      <c r="B560" s="1129"/>
      <c r="C560" s="1145" t="s">
        <v>932</v>
      </c>
      <c r="D560" s="1146"/>
      <c r="E560" s="1146"/>
      <c r="F560" s="1133"/>
      <c r="G560" s="1134"/>
      <c r="H560" s="1148" t="s">
        <v>933</v>
      </c>
      <c r="I560" s="1146"/>
      <c r="J560" s="1146"/>
      <c r="K560" s="1146"/>
      <c r="L560" s="671">
        <v>0</v>
      </c>
      <c r="M560" s="724"/>
    </row>
    <row r="561" spans="1:25">
      <c r="A561" s="1128" t="s">
        <v>512</v>
      </c>
      <c r="B561" s="1129"/>
      <c r="C561" s="1145" t="s">
        <v>934</v>
      </c>
      <c r="D561" s="1146"/>
      <c r="E561" s="1146"/>
      <c r="F561" s="1147"/>
      <c r="G561" s="1134"/>
      <c r="H561" s="1148" t="s">
        <v>1632</v>
      </c>
      <c r="I561" s="1146"/>
      <c r="J561" s="1146"/>
      <c r="K561" s="1146"/>
      <c r="L561" s="674">
        <f>L560*L600</f>
        <v>0</v>
      </c>
      <c r="M561" s="722"/>
    </row>
    <row r="562" spans="1:25" ht="15.6" thickBot="1">
      <c r="A562" s="1128" t="s">
        <v>510</v>
      </c>
      <c r="B562" s="978"/>
      <c r="C562" s="1145" t="s">
        <v>935</v>
      </c>
      <c r="D562" s="1146"/>
      <c r="E562" s="1146"/>
      <c r="F562" s="1133"/>
      <c r="G562" s="1134"/>
      <c r="H562" s="1148"/>
      <c r="I562" s="1146"/>
      <c r="J562" s="1146"/>
      <c r="K562" s="1146"/>
      <c r="L562" s="664"/>
      <c r="M562" s="723"/>
    </row>
    <row r="563" spans="1:25" ht="15" customHeight="1">
      <c r="A563" s="1128" t="s">
        <v>96</v>
      </c>
      <c r="B563" s="978"/>
      <c r="C563" s="246" t="s">
        <v>1620</v>
      </c>
      <c r="D563" s="665"/>
      <c r="E563" s="665"/>
      <c r="F563" s="665"/>
      <c r="G563" s="665"/>
      <c r="H563" s="665"/>
      <c r="I563" s="665"/>
      <c r="J563" s="665"/>
      <c r="K563" s="665"/>
      <c r="L563" s="676">
        <f>+'11 - Facilities'!N457</f>
        <v>0</v>
      </c>
      <c r="X563" s="8"/>
      <c r="Y563" s="637"/>
    </row>
    <row r="564" spans="1:25">
      <c r="A564" s="1128" t="s">
        <v>95</v>
      </c>
      <c r="B564" s="978"/>
      <c r="C564" s="234" t="s">
        <v>956</v>
      </c>
      <c r="D564" s="628"/>
      <c r="E564" s="628"/>
      <c r="F564" s="628"/>
      <c r="G564" s="663"/>
      <c r="H564" s="628"/>
      <c r="I564" s="628"/>
      <c r="J564" s="628"/>
      <c r="K564" s="628"/>
      <c r="L564" s="673">
        <f>Inputs!$D$112</f>
        <v>85279144.388324827</v>
      </c>
      <c r="X564" s="8"/>
      <c r="Y564" s="637"/>
    </row>
    <row r="565" spans="1:25">
      <c r="A565" s="1128" t="s">
        <v>93</v>
      </c>
      <c r="B565" s="978"/>
      <c r="C565" s="234" t="s">
        <v>957</v>
      </c>
      <c r="D565" s="628"/>
      <c r="E565" s="628"/>
      <c r="F565" s="628"/>
      <c r="G565" s="663"/>
      <c r="H565" s="628"/>
      <c r="I565" s="628"/>
      <c r="J565" s="628"/>
      <c r="K565" s="628"/>
      <c r="L565" s="673">
        <f>Inputs!$D$113</f>
        <v>35519691.656922147</v>
      </c>
      <c r="X565" s="8"/>
      <c r="Y565" s="637"/>
    </row>
    <row r="566" spans="1:25" ht="15" customHeight="1">
      <c r="A566" s="1128" t="s">
        <v>92</v>
      </c>
      <c r="B566" s="978"/>
      <c r="C566" s="661" t="s">
        <v>975</v>
      </c>
      <c r="D566" s="628"/>
      <c r="E566" s="628"/>
      <c r="F566" s="628"/>
      <c r="G566" s="663"/>
      <c r="H566" s="628"/>
      <c r="I566" s="628"/>
      <c r="J566" s="628"/>
      <c r="K566" s="628"/>
      <c r="L566" s="673">
        <f>L564-L565</f>
        <v>49759452.73140268</v>
      </c>
      <c r="X566" s="8"/>
      <c r="Y566" s="637"/>
    </row>
    <row r="567" spans="1:25">
      <c r="A567" s="1128" t="s">
        <v>107</v>
      </c>
      <c r="B567" s="978"/>
      <c r="C567" s="661" t="s">
        <v>976</v>
      </c>
      <c r="D567" s="628"/>
      <c r="E567" s="628"/>
      <c r="F567" s="628"/>
      <c r="G567" s="663"/>
      <c r="H567" s="628"/>
      <c r="I567" s="628"/>
      <c r="J567" s="628"/>
      <c r="K567" s="628"/>
      <c r="L567" s="677">
        <f>L563/L566</f>
        <v>0</v>
      </c>
      <c r="X567" s="8"/>
      <c r="Y567" s="637"/>
    </row>
    <row r="568" spans="1:25">
      <c r="A568" s="1128" t="s">
        <v>105</v>
      </c>
      <c r="B568" s="978"/>
      <c r="C568" s="661"/>
      <c r="D568" s="628"/>
      <c r="E568" s="628"/>
      <c r="F568" s="628"/>
      <c r="G568" s="663"/>
      <c r="H568" s="628"/>
      <c r="I568" s="628"/>
      <c r="J568" s="628"/>
      <c r="K568" s="628"/>
      <c r="L568" s="677"/>
      <c r="X568" s="8"/>
      <c r="Y568" s="637"/>
    </row>
    <row r="569" spans="1:25" ht="15.6">
      <c r="A569" s="1128" t="s">
        <v>104</v>
      </c>
      <c r="B569" s="978"/>
      <c r="C569" s="666" t="s">
        <v>967</v>
      </c>
      <c r="D569" s="628"/>
      <c r="E569" s="628"/>
      <c r="F569" s="628"/>
      <c r="G569" s="663"/>
      <c r="H569" s="628"/>
      <c r="I569" s="628"/>
      <c r="J569" s="628"/>
      <c r="K569" s="628"/>
      <c r="L569" s="677"/>
      <c r="X569" s="8"/>
      <c r="Y569" s="637"/>
    </row>
    <row r="570" spans="1:25">
      <c r="A570" s="1128" t="s">
        <v>103</v>
      </c>
      <c r="B570" s="978"/>
      <c r="C570" s="661" t="s">
        <v>1622</v>
      </c>
      <c r="D570" s="628"/>
      <c r="E570" s="628"/>
      <c r="F570" s="628"/>
      <c r="G570" s="663"/>
      <c r="H570" s="628"/>
      <c r="I570" s="628"/>
      <c r="J570" s="628"/>
      <c r="K570" s="628"/>
      <c r="L570" s="673">
        <f>+AppendixA!$H$48-AppendixA!$H$62</f>
        <v>701728.60760892951</v>
      </c>
      <c r="X570" s="8"/>
      <c r="Y570" s="637"/>
    </row>
    <row r="571" spans="1:25">
      <c r="A571" s="1128" t="s">
        <v>727</v>
      </c>
      <c r="B571" s="978"/>
      <c r="C571" s="661" t="s">
        <v>1623</v>
      </c>
      <c r="D571" s="628"/>
      <c r="E571" s="628"/>
      <c r="F571" s="628"/>
      <c r="G571" s="663"/>
      <c r="H571" s="628"/>
      <c r="I571" s="628"/>
      <c r="J571" s="628"/>
      <c r="K571" s="628"/>
      <c r="L571" s="673">
        <f>+L570*L567</f>
        <v>0</v>
      </c>
      <c r="X571" s="8"/>
      <c r="Y571" s="637"/>
    </row>
    <row r="572" spans="1:25">
      <c r="A572" s="1128" t="s">
        <v>728</v>
      </c>
      <c r="B572" s="978"/>
      <c r="C572" s="880"/>
      <c r="D572" s="628"/>
      <c r="E572" s="628"/>
      <c r="F572" s="628"/>
      <c r="G572" s="663"/>
      <c r="H572" s="628"/>
      <c r="I572" s="628"/>
      <c r="J572" s="628"/>
      <c r="K572" s="628"/>
      <c r="L572" s="890"/>
      <c r="X572" s="8"/>
      <c r="Y572" s="637"/>
    </row>
    <row r="573" spans="1:25" ht="15.6">
      <c r="A573" s="1128" t="s">
        <v>745</v>
      </c>
      <c r="B573" s="1132"/>
      <c r="C573" s="666" t="s">
        <v>1644</v>
      </c>
      <c r="D573" s="628"/>
      <c r="E573" s="628"/>
      <c r="F573" s="628"/>
      <c r="G573" s="663"/>
      <c r="H573" s="628"/>
      <c r="I573" s="628"/>
      <c r="J573" s="628"/>
      <c r="K573" s="628"/>
      <c r="L573" s="664"/>
      <c r="X573" s="8"/>
      <c r="Y573" s="637"/>
    </row>
    <row r="574" spans="1:25">
      <c r="A574" s="1128" t="s">
        <v>746</v>
      </c>
      <c r="B574" s="1132"/>
      <c r="C574" s="661" t="s">
        <v>958</v>
      </c>
      <c r="D574" s="628"/>
      <c r="E574" s="628"/>
      <c r="F574" s="628"/>
      <c r="G574" s="663"/>
      <c r="H574" s="628"/>
      <c r="I574" s="628"/>
      <c r="J574" s="628"/>
      <c r="K574" s="628"/>
      <c r="L574" s="673">
        <f>AppendixA!$H$95</f>
        <v>-5612988.9467919813</v>
      </c>
      <c r="X574" s="8"/>
      <c r="Y574" s="637"/>
    </row>
    <row r="575" spans="1:25">
      <c r="A575" s="1128" t="s">
        <v>747</v>
      </c>
      <c r="B575" s="1132"/>
      <c r="C575" s="661" t="s">
        <v>1655</v>
      </c>
      <c r="D575" s="628"/>
      <c r="E575" s="628"/>
      <c r="F575" s="628"/>
      <c r="G575" s="663"/>
      <c r="H575" s="628"/>
      <c r="I575" s="628"/>
      <c r="J575" s="628"/>
      <c r="K575" s="628"/>
      <c r="L575" s="673">
        <f>L574*L567</f>
        <v>0</v>
      </c>
      <c r="X575" s="8"/>
      <c r="Y575" s="637"/>
    </row>
    <row r="576" spans="1:25">
      <c r="A576" s="1128" t="s">
        <v>748</v>
      </c>
      <c r="B576" s="978"/>
      <c r="C576" s="661" t="s">
        <v>1656</v>
      </c>
      <c r="D576" s="628"/>
      <c r="E576" s="628"/>
      <c r="F576" s="628"/>
      <c r="G576" s="663"/>
      <c r="H576" s="628"/>
      <c r="I576" s="628"/>
      <c r="J576" s="628"/>
      <c r="K576" s="628"/>
      <c r="L576" s="673">
        <f>L563+L575+L571</f>
        <v>0</v>
      </c>
      <c r="X576" s="8"/>
      <c r="Y576" s="637"/>
    </row>
    <row r="577" spans="1:25">
      <c r="A577" s="1128" t="s">
        <v>749</v>
      </c>
      <c r="B577" s="978"/>
      <c r="C577" s="661" t="s">
        <v>959</v>
      </c>
      <c r="D577" s="628"/>
      <c r="E577" s="628"/>
      <c r="F577" s="628"/>
      <c r="G577" s="663"/>
      <c r="H577" s="628"/>
      <c r="I577" s="628"/>
      <c r="J577" s="628"/>
      <c r="K577" s="628"/>
      <c r="L577" s="677">
        <f>AppendixA!$H$182</f>
        <v>7.3603939048291073E-2</v>
      </c>
      <c r="X577" s="8"/>
      <c r="Y577" s="637"/>
    </row>
    <row r="578" spans="1:25">
      <c r="A578" s="1128" t="s">
        <v>750</v>
      </c>
      <c r="B578" s="978"/>
      <c r="C578" s="661" t="s">
        <v>1657</v>
      </c>
      <c r="D578" s="628"/>
      <c r="E578" s="628"/>
      <c r="F578" s="628"/>
      <c r="G578" s="663"/>
      <c r="H578" s="628"/>
      <c r="I578" s="628"/>
      <c r="J578" s="628"/>
      <c r="K578" s="628"/>
      <c r="L578" s="673">
        <f>L576*L577</f>
        <v>0</v>
      </c>
      <c r="X578" s="8"/>
      <c r="Y578" s="637"/>
    </row>
    <row r="579" spans="1:25">
      <c r="A579" s="878"/>
      <c r="B579" s="882" t="s">
        <v>751</v>
      </c>
      <c r="C579" s="661"/>
      <c r="D579" s="628"/>
      <c r="E579" s="628"/>
      <c r="F579" s="628"/>
      <c r="G579" s="663"/>
      <c r="H579" s="628"/>
      <c r="I579" s="628"/>
      <c r="J579" s="628"/>
      <c r="K579" s="628"/>
      <c r="L579" s="673"/>
      <c r="X579" s="8"/>
      <c r="Y579" s="637"/>
    </row>
    <row r="580" spans="1:25" ht="15.6">
      <c r="A580" s="1128" t="s">
        <v>936</v>
      </c>
      <c r="B580" s="978"/>
      <c r="C580" s="666" t="s">
        <v>1645</v>
      </c>
      <c r="D580" s="628"/>
      <c r="E580" s="628"/>
      <c r="F580" s="628"/>
      <c r="G580" s="663"/>
      <c r="H580" s="628"/>
      <c r="I580" s="628"/>
      <c r="J580" s="628"/>
      <c r="K580" s="628"/>
      <c r="L580" s="673"/>
      <c r="X580" s="8"/>
      <c r="Y580" s="637"/>
    </row>
    <row r="581" spans="1:25">
      <c r="A581" s="1128">
        <v>24</v>
      </c>
      <c r="B581" s="978"/>
      <c r="C581" s="661" t="s">
        <v>1647</v>
      </c>
      <c r="D581" s="628"/>
      <c r="E581" s="628"/>
      <c r="F581" s="628"/>
      <c r="G581" s="663"/>
      <c r="H581" s="628"/>
      <c r="I581" s="628"/>
      <c r="J581" s="628"/>
      <c r="K581" s="628"/>
      <c r="L581" s="673">
        <f>+AppendixA!$H$141</f>
        <v>62220.916888344676</v>
      </c>
      <c r="X581" s="8"/>
      <c r="Y581" s="637"/>
    </row>
    <row r="582" spans="1:25">
      <c r="A582" s="1128" t="s">
        <v>937</v>
      </c>
      <c r="B582" s="978"/>
      <c r="C582" s="885"/>
      <c r="D582" s="886"/>
      <c r="E582" s="886"/>
      <c r="F582" s="886"/>
      <c r="G582" s="887"/>
      <c r="H582" s="886"/>
      <c r="I582" s="886"/>
      <c r="J582" s="886"/>
      <c r="K582" s="886"/>
      <c r="L582" s="888"/>
      <c r="X582" s="8"/>
      <c r="Y582" s="637"/>
    </row>
    <row r="583" spans="1:25">
      <c r="A583" s="1128" t="s">
        <v>938</v>
      </c>
      <c r="B583" s="978"/>
      <c r="C583" s="661" t="s">
        <v>1646</v>
      </c>
      <c r="D583" s="628"/>
      <c r="E583" s="628"/>
      <c r="F583" s="628"/>
      <c r="G583" s="663"/>
      <c r="H583" s="628"/>
      <c r="I583" s="628"/>
      <c r="J583" s="628"/>
      <c r="K583" s="628"/>
      <c r="L583" s="673">
        <f>+L581*L567</f>
        <v>0</v>
      </c>
      <c r="X583" s="8"/>
      <c r="Y583" s="637"/>
    </row>
    <row r="584" spans="1:25">
      <c r="A584" s="1128" t="s">
        <v>939</v>
      </c>
      <c r="B584" s="978"/>
      <c r="C584" s="661"/>
      <c r="D584" s="628"/>
      <c r="E584" s="628"/>
      <c r="F584" s="628"/>
      <c r="G584" s="663"/>
      <c r="H584" s="628"/>
      <c r="I584" s="628"/>
      <c r="J584" s="628"/>
      <c r="K584" s="628"/>
      <c r="L584" s="664"/>
      <c r="X584" s="8"/>
      <c r="Y584" s="637"/>
    </row>
    <row r="585" spans="1:25" ht="15.6">
      <c r="A585" s="1128" t="s">
        <v>940</v>
      </c>
      <c r="B585" s="978"/>
      <c r="C585" s="666" t="s">
        <v>960</v>
      </c>
      <c r="D585" s="628"/>
      <c r="E585" s="628"/>
      <c r="F585" s="628"/>
      <c r="G585" s="663"/>
      <c r="H585" s="628"/>
      <c r="I585" s="628"/>
      <c r="J585" s="628"/>
      <c r="K585" s="628"/>
      <c r="L585" s="664"/>
      <c r="X585" s="8"/>
      <c r="Y585" s="637"/>
    </row>
    <row r="586" spans="1:25">
      <c r="A586" s="1128" t="s">
        <v>968</v>
      </c>
      <c r="B586" s="978"/>
      <c r="C586" s="661" t="s">
        <v>961</v>
      </c>
      <c r="D586" s="628"/>
      <c r="E586" s="628"/>
      <c r="F586" s="628"/>
      <c r="G586" s="663"/>
      <c r="H586" s="628"/>
      <c r="I586" s="628"/>
      <c r="J586" s="628"/>
      <c r="K586" s="628"/>
      <c r="L586" s="673">
        <f>AppendixA!$H$130</f>
        <v>1172367.8913758555</v>
      </c>
      <c r="X586" s="8"/>
      <c r="Y586" s="637"/>
    </row>
    <row r="587" spans="1:25">
      <c r="A587" s="1128" t="s">
        <v>969</v>
      </c>
      <c r="B587" s="978"/>
      <c r="C587" s="661" t="s">
        <v>1658</v>
      </c>
      <c r="D587" s="628"/>
      <c r="E587" s="628"/>
      <c r="F587" s="628"/>
      <c r="G587" s="663"/>
      <c r="H587" s="628"/>
      <c r="I587" s="628"/>
      <c r="J587" s="628"/>
      <c r="K587" s="628"/>
      <c r="L587" s="673">
        <f>L567*L586</f>
        <v>0</v>
      </c>
      <c r="X587" s="8"/>
      <c r="Y587" s="637"/>
    </row>
    <row r="588" spans="1:25">
      <c r="A588" s="1128" t="s">
        <v>970</v>
      </c>
      <c r="B588" s="978"/>
      <c r="C588" s="661"/>
      <c r="D588" s="628"/>
      <c r="E588" s="628"/>
      <c r="F588" s="628"/>
      <c r="G588" s="663"/>
      <c r="H588" s="628"/>
      <c r="I588" s="628"/>
      <c r="J588" s="628"/>
      <c r="K588" s="628"/>
      <c r="L588" s="664"/>
      <c r="X588" s="8"/>
      <c r="Y588" s="637"/>
    </row>
    <row r="589" spans="1:25" ht="15.6">
      <c r="A589" s="1128" t="s">
        <v>971</v>
      </c>
      <c r="B589" s="978"/>
      <c r="C589" s="666" t="s">
        <v>1621</v>
      </c>
      <c r="D589" s="628"/>
      <c r="E589" s="628"/>
      <c r="F589" s="628"/>
      <c r="G589" s="663"/>
      <c r="H589" s="628"/>
      <c r="I589" s="628"/>
      <c r="J589" s="628"/>
      <c r="K589" s="628"/>
      <c r="L589" s="664"/>
      <c r="X589" s="8"/>
      <c r="Y589" s="637"/>
    </row>
    <row r="590" spans="1:25">
      <c r="A590" s="1128" t="s">
        <v>1633</v>
      </c>
      <c r="B590" s="978"/>
      <c r="C590" s="661" t="s">
        <v>1648</v>
      </c>
      <c r="D590" s="628"/>
      <c r="E590" s="628"/>
      <c r="F590" s="628"/>
      <c r="G590" s="663"/>
      <c r="H590" s="628"/>
      <c r="I590" s="628"/>
      <c r="J590" s="628"/>
      <c r="K590" s="628"/>
      <c r="L590" s="675">
        <f>+'11 - Facilities'!O457</f>
        <v>0</v>
      </c>
      <c r="X590" s="8"/>
      <c r="Y590" s="637"/>
    </row>
    <row r="591" spans="1:25">
      <c r="A591" s="1128" t="s">
        <v>1624</v>
      </c>
      <c r="B591" s="978"/>
      <c r="C591" s="661"/>
      <c r="D591" s="628"/>
      <c r="E591" s="628"/>
      <c r="F591" s="628"/>
      <c r="G591" s="663"/>
      <c r="H591" s="628"/>
      <c r="I591" s="628"/>
      <c r="J591" s="628"/>
      <c r="K591" s="628"/>
      <c r="L591" s="673"/>
      <c r="X591" s="8"/>
      <c r="Y591" s="637"/>
    </row>
    <row r="592" spans="1:25" ht="15.6">
      <c r="A592" s="1128" t="s">
        <v>1625</v>
      </c>
      <c r="B592" s="1132"/>
      <c r="C592" s="666" t="s">
        <v>962</v>
      </c>
      <c r="D592" s="628"/>
      <c r="E592" s="628"/>
      <c r="F592" s="628"/>
      <c r="G592" s="663"/>
      <c r="H592" s="628"/>
      <c r="I592" s="628"/>
      <c r="J592" s="628"/>
      <c r="K592" s="628"/>
      <c r="L592" s="673"/>
      <c r="X592" s="8"/>
      <c r="Y592" s="637"/>
    </row>
    <row r="593" spans="1:25">
      <c r="A593" s="1128" t="s">
        <v>1634</v>
      </c>
      <c r="B593" s="978"/>
      <c r="C593" s="661" t="s">
        <v>963</v>
      </c>
      <c r="D593" s="628"/>
      <c r="E593" s="628"/>
      <c r="F593" s="628"/>
      <c r="G593" s="663"/>
      <c r="H593" s="628"/>
      <c r="I593" s="628"/>
      <c r="J593" s="628"/>
      <c r="K593" s="628"/>
      <c r="L593" s="673">
        <f>AppendixA!$H$149</f>
        <v>420701.86116179236</v>
      </c>
      <c r="X593" s="8"/>
      <c r="Y593" s="637"/>
    </row>
    <row r="594" spans="1:25">
      <c r="A594" s="1128" t="s">
        <v>1635</v>
      </c>
      <c r="B594" s="978"/>
      <c r="C594" s="661" t="s">
        <v>1649</v>
      </c>
      <c r="D594" s="628"/>
      <c r="E594" s="628"/>
      <c r="F594" s="628"/>
      <c r="G594" s="663"/>
      <c r="H594" s="883"/>
      <c r="I594" s="628"/>
      <c r="J594" s="628"/>
      <c r="K594" s="628"/>
      <c r="L594" s="673">
        <f>L567*L593</f>
        <v>0</v>
      </c>
      <c r="X594" s="8"/>
      <c r="Y594" s="637"/>
    </row>
    <row r="595" spans="1:25">
      <c r="A595" s="1128" t="s">
        <v>1626</v>
      </c>
      <c r="B595" s="978"/>
      <c r="C595" s="661"/>
      <c r="D595" s="628"/>
      <c r="E595" s="628"/>
      <c r="F595" s="628"/>
      <c r="G595" s="663"/>
      <c r="H595" s="628"/>
      <c r="I595" s="628"/>
      <c r="J595" s="628"/>
      <c r="K595" s="628"/>
      <c r="L595" s="673"/>
      <c r="X595" s="8"/>
      <c r="Y595" s="637"/>
    </row>
    <row r="596" spans="1:25" ht="15.6">
      <c r="A596" s="1128" t="s">
        <v>1627</v>
      </c>
      <c r="B596" s="1132"/>
      <c r="C596" s="666" t="s">
        <v>964</v>
      </c>
      <c r="D596" s="628"/>
      <c r="E596" s="628"/>
      <c r="F596" s="628"/>
      <c r="G596" s="663"/>
      <c r="H596" s="628"/>
      <c r="I596" s="628"/>
      <c r="J596" s="628"/>
      <c r="K596" s="628"/>
      <c r="L596" s="673"/>
      <c r="X596" s="8"/>
      <c r="Y596" s="637"/>
    </row>
    <row r="597" spans="1:25">
      <c r="A597" s="1128" t="s">
        <v>1636</v>
      </c>
      <c r="B597" s="978"/>
      <c r="C597" s="661" t="s">
        <v>965</v>
      </c>
      <c r="D597" s="628"/>
      <c r="E597" s="628"/>
      <c r="F597" s="628"/>
      <c r="G597" s="663"/>
      <c r="H597" s="628"/>
      <c r="I597" s="628"/>
      <c r="J597" s="628"/>
      <c r="K597" s="628"/>
      <c r="L597" s="673">
        <f>AppendixA!$H$228</f>
        <v>524818.20552830724</v>
      </c>
      <c r="X597" s="8"/>
      <c r="Y597" s="637"/>
    </row>
    <row r="598" spans="1:25">
      <c r="A598" s="1128" t="s">
        <v>1637</v>
      </c>
      <c r="B598" s="978"/>
      <c r="C598" s="661" t="s">
        <v>1650</v>
      </c>
      <c r="D598" s="628"/>
      <c r="E598" s="628"/>
      <c r="F598" s="628"/>
      <c r="G598" s="663"/>
      <c r="H598" s="628"/>
      <c r="I598" s="628"/>
      <c r="J598" s="628"/>
      <c r="K598" s="628"/>
      <c r="L598" s="673">
        <f>L567*L597</f>
        <v>0</v>
      </c>
      <c r="X598" s="8"/>
      <c r="Y598" s="637"/>
    </row>
    <row r="599" spans="1:25">
      <c r="A599" s="1128" t="s">
        <v>1628</v>
      </c>
      <c r="B599" s="1132"/>
      <c r="C599" s="661"/>
      <c r="D599" s="628"/>
      <c r="E599" s="628"/>
      <c r="F599" s="628"/>
      <c r="G599" s="663"/>
      <c r="H599" s="628"/>
      <c r="I599" s="628"/>
      <c r="J599" s="628"/>
      <c r="K599" s="628"/>
      <c r="L599" s="673"/>
      <c r="X599" s="8"/>
      <c r="Y599" s="637"/>
    </row>
    <row r="600" spans="1:25" ht="15.6">
      <c r="A600" s="1128" t="s">
        <v>1638</v>
      </c>
      <c r="B600" s="978"/>
      <c r="C600" s="666" t="s">
        <v>1651</v>
      </c>
      <c r="D600" s="883"/>
      <c r="E600" s="883"/>
      <c r="F600" s="889"/>
      <c r="G600" s="884"/>
      <c r="H600" s="883"/>
      <c r="I600" s="883"/>
      <c r="J600" s="883"/>
      <c r="K600" s="628"/>
      <c r="L600" s="673">
        <f>L578+L587+L590+L594+L598+L583</f>
        <v>0</v>
      </c>
      <c r="X600" s="8"/>
      <c r="Y600" s="637"/>
    </row>
    <row r="601" spans="1:25" ht="15.6">
      <c r="A601" s="1128" t="s">
        <v>1629</v>
      </c>
      <c r="B601" s="1132"/>
      <c r="C601" s="666"/>
      <c r="D601" s="628"/>
      <c r="E601" s="628"/>
      <c r="F601" s="662"/>
      <c r="G601" s="663"/>
      <c r="H601" s="628"/>
      <c r="I601" s="628"/>
      <c r="J601" s="628"/>
      <c r="K601" s="628"/>
      <c r="L601" s="664"/>
      <c r="X601" s="8"/>
      <c r="Y601" s="637"/>
    </row>
    <row r="602" spans="1:25">
      <c r="A602" s="1128" t="s">
        <v>1639</v>
      </c>
      <c r="B602" s="978"/>
      <c r="C602" s="661" t="s">
        <v>928</v>
      </c>
      <c r="D602" s="628"/>
      <c r="E602" s="628"/>
      <c r="F602" s="662"/>
      <c r="G602" s="663"/>
      <c r="H602" s="628"/>
      <c r="I602" s="628"/>
      <c r="J602" s="628"/>
      <c r="K602" s="628"/>
      <c r="L602" s="682">
        <f>AppendixA!$H$212</f>
        <v>0.2658227848101265</v>
      </c>
      <c r="X602" s="8"/>
      <c r="Y602" s="637"/>
    </row>
    <row r="603" spans="1:25">
      <c r="A603" s="1128" t="s">
        <v>1640</v>
      </c>
      <c r="B603" s="978"/>
      <c r="C603" s="661" t="s">
        <v>929</v>
      </c>
      <c r="D603" s="628"/>
      <c r="E603" s="628"/>
      <c r="F603" s="662"/>
      <c r="G603" s="663"/>
      <c r="H603" s="628"/>
      <c r="I603" s="628"/>
      <c r="J603" s="628"/>
      <c r="K603" s="628"/>
      <c r="L603" s="677">
        <f>'6-WACC'!$G$16</f>
        <v>0.50515815125064667</v>
      </c>
      <c r="X603" s="8"/>
      <c r="Y603" s="637"/>
    </row>
    <row r="604" spans="1:25">
      <c r="A604" s="1128" t="s">
        <v>1641</v>
      </c>
      <c r="B604" s="978"/>
      <c r="C604" s="661" t="s">
        <v>1659</v>
      </c>
      <c r="D604" s="628"/>
      <c r="E604" s="628"/>
      <c r="F604" s="662"/>
      <c r="G604" s="663"/>
      <c r="H604" s="628"/>
      <c r="I604" s="628"/>
      <c r="J604" s="628"/>
      <c r="K604" s="628"/>
      <c r="L604" s="677">
        <f>((0.01/L602)*L603*100)</f>
        <v>1.9003568547048142</v>
      </c>
      <c r="X604" s="8"/>
      <c r="Y604" s="637"/>
    </row>
    <row r="605" spans="1:25">
      <c r="A605" s="1128" t="s">
        <v>1642</v>
      </c>
      <c r="B605" s="978"/>
      <c r="C605" s="661" t="s">
        <v>1660</v>
      </c>
      <c r="D605" s="628"/>
      <c r="E605" s="628"/>
      <c r="F605" s="662"/>
      <c r="G605" s="663"/>
      <c r="H605" s="628"/>
      <c r="I605" s="628"/>
      <c r="J605" s="628"/>
      <c r="K605" s="628"/>
      <c r="L605" s="673">
        <f>L561*L576</f>
        <v>0</v>
      </c>
      <c r="X605" s="8"/>
      <c r="Y605" s="637"/>
    </row>
    <row r="606" spans="1:25" ht="15.6">
      <c r="A606" s="1128" t="s">
        <v>1630</v>
      </c>
      <c r="B606" s="1132"/>
      <c r="C606" s="666"/>
      <c r="D606" s="628"/>
      <c r="E606" s="628"/>
      <c r="F606" s="662"/>
      <c r="G606" s="663"/>
      <c r="H606" s="628"/>
      <c r="I606" s="628"/>
      <c r="J606" s="628"/>
      <c r="K606" s="628"/>
      <c r="L606" s="673"/>
      <c r="X606" s="8"/>
      <c r="Y606" s="637"/>
    </row>
    <row r="607" spans="1:25" ht="15.6">
      <c r="A607" s="1128" t="s">
        <v>1643</v>
      </c>
      <c r="B607" s="978"/>
      <c r="C607" s="666" t="s">
        <v>1661</v>
      </c>
      <c r="D607" s="628"/>
      <c r="E607" s="628"/>
      <c r="F607" s="662"/>
      <c r="G607" s="663"/>
      <c r="H607" s="628"/>
      <c r="I607" s="628"/>
      <c r="J607" s="628"/>
      <c r="K607" s="628"/>
      <c r="L607" s="673">
        <f>L600+L605</f>
        <v>0</v>
      </c>
      <c r="X607" s="8"/>
      <c r="Y607" s="637"/>
    </row>
    <row r="608" spans="1:25" ht="15.6" thickBot="1">
      <c r="A608" s="1128"/>
      <c r="B608" s="1132"/>
      <c r="C608" s="667"/>
      <c r="D608" s="668"/>
      <c r="E608" s="668"/>
      <c r="F608" s="669"/>
      <c r="G608" s="670"/>
      <c r="H608" s="668"/>
      <c r="I608" s="668"/>
      <c r="J608" s="668"/>
      <c r="K608" s="668"/>
      <c r="L608" s="678"/>
      <c r="X608" s="8"/>
      <c r="Y608" s="637"/>
    </row>
    <row r="609" spans="1:25">
      <c r="A609" s="672"/>
      <c r="B609" s="672"/>
      <c r="C609" s="642"/>
      <c r="D609" s="628"/>
      <c r="E609" s="641"/>
      <c r="F609" s="628"/>
      <c r="G609" s="641"/>
      <c r="H609" s="628"/>
      <c r="I609" s="638"/>
      <c r="J609" s="638"/>
      <c r="K609" s="639"/>
      <c r="L609" s="638"/>
      <c r="W609" s="222"/>
      <c r="X609" s="222"/>
      <c r="Y609" s="222"/>
    </row>
    <row r="610" spans="1:25">
      <c r="A610" s="8" t="s">
        <v>941</v>
      </c>
      <c r="B610" s="8"/>
      <c r="C610" s="8"/>
      <c r="D610" s="8"/>
      <c r="E610" s="8"/>
      <c r="F610" s="8"/>
      <c r="G610" s="8"/>
      <c r="H610" s="8"/>
      <c r="I610" s="8"/>
      <c r="J610" s="8"/>
      <c r="K610" s="8"/>
      <c r="L610" s="8"/>
      <c r="M610" s="8"/>
      <c r="N610" s="640"/>
      <c r="O610" s="10"/>
      <c r="P610" s="222"/>
      <c r="Q610" s="222"/>
      <c r="R610" s="222"/>
      <c r="S610" s="222"/>
      <c r="T610" s="222"/>
      <c r="U610" s="10"/>
      <c r="V610" s="222"/>
      <c r="W610" s="222"/>
      <c r="X610" s="222"/>
      <c r="Y610" s="222"/>
    </row>
    <row r="611" spans="1:25">
      <c r="B611" s="10" t="s">
        <v>441</v>
      </c>
      <c r="C611" s="628"/>
      <c r="D611" s="628"/>
      <c r="E611" s="628"/>
      <c r="F611" s="628"/>
      <c r="G611" s="628"/>
      <c r="H611" s="628"/>
      <c r="I611" s="628"/>
      <c r="J611" s="628"/>
      <c r="K611" s="628"/>
      <c r="L611" s="628"/>
      <c r="M611" s="628"/>
      <c r="N611" s="640"/>
      <c r="O611" s="10"/>
      <c r="P611" s="222"/>
      <c r="Q611" s="222"/>
      <c r="R611" s="222"/>
      <c r="S611" s="222"/>
      <c r="T611" s="222"/>
      <c r="U611" s="10"/>
      <c r="V611" s="222"/>
      <c r="W611" s="222"/>
      <c r="X611" s="222"/>
      <c r="Y611" s="222"/>
    </row>
    <row r="612" spans="1:25">
      <c r="C612" s="628"/>
      <c r="D612" s="628"/>
      <c r="E612" s="628"/>
      <c r="F612" s="628"/>
      <c r="G612" s="10"/>
      <c r="H612" s="628"/>
      <c r="I612" s="628"/>
      <c r="J612" s="10" t="s">
        <v>917</v>
      </c>
      <c r="K612" s="628"/>
      <c r="L612" s="628"/>
      <c r="M612" s="628"/>
    </row>
    <row r="613" spans="1:25">
      <c r="C613" s="628"/>
      <c r="D613" s="628"/>
      <c r="E613" s="628"/>
      <c r="F613" s="628"/>
      <c r="G613" s="10"/>
      <c r="H613" s="628"/>
      <c r="I613" s="628"/>
      <c r="J613" s="647" t="s">
        <v>948</v>
      </c>
      <c r="K613" s="628"/>
      <c r="L613" s="628"/>
      <c r="M613" s="628"/>
    </row>
    <row r="614" spans="1:25" ht="15.6">
      <c r="B614" s="975" t="s">
        <v>983</v>
      </c>
      <c r="C614" s="975"/>
      <c r="D614" s="975"/>
      <c r="E614" s="975"/>
      <c r="F614" s="975"/>
      <c r="G614" s="975"/>
      <c r="H614" s="975"/>
      <c r="I614" s="975"/>
      <c r="J614" s="975"/>
      <c r="K614" s="975"/>
      <c r="L614" s="975"/>
      <c r="M614" s="975"/>
      <c r="N614" s="975"/>
      <c r="O614" s="975"/>
    </row>
    <row r="615" spans="1:25">
      <c r="B615" s="976" t="str">
        <f>$B$2</f>
        <v>(For Rate Year Beginning April 1, 2026, Based on December 31, 2025 Data)</v>
      </c>
      <c r="C615" s="976"/>
      <c r="D615" s="976"/>
      <c r="E615" s="976"/>
      <c r="F615" s="976"/>
      <c r="G615" s="976"/>
      <c r="H615" s="976"/>
      <c r="I615" s="976"/>
      <c r="J615" s="976"/>
      <c r="K615" s="976"/>
      <c r="L615" s="976"/>
      <c r="M615" s="976"/>
      <c r="N615" s="976"/>
      <c r="O615" s="976"/>
    </row>
    <row r="617" spans="1:25" ht="15.6">
      <c r="A617" s="1157" t="s">
        <v>986</v>
      </c>
      <c r="B617" s="1158"/>
      <c r="C617" s="1158"/>
      <c r="D617" s="1158"/>
      <c r="E617" s="1158"/>
      <c r="F617" s="1158"/>
    </row>
    <row r="619" spans="1:25">
      <c r="B619" s="6" t="s">
        <v>926</v>
      </c>
    </row>
    <row r="620" spans="1:25">
      <c r="B620" s="6" t="s">
        <v>927</v>
      </c>
    </row>
    <row r="621" spans="1:25">
      <c r="B621" s="6" t="s">
        <v>972</v>
      </c>
    </row>
    <row r="622" spans="1:25">
      <c r="B622" s="6" t="s">
        <v>954</v>
      </c>
    </row>
    <row r="624" spans="1:25">
      <c r="A624" s="1130" t="s">
        <v>244</v>
      </c>
      <c r="B624" s="978"/>
    </row>
    <row r="625" spans="1:25" ht="6" customHeight="1" thickBot="1">
      <c r="A625" s="1131"/>
      <c r="B625" s="1131"/>
    </row>
    <row r="626" spans="1:25" ht="15.6" thickBot="1">
      <c r="A626" s="1128" t="s">
        <v>521</v>
      </c>
      <c r="B626" s="1129"/>
      <c r="C626" s="1149" t="s">
        <v>930</v>
      </c>
      <c r="D626" s="1150"/>
      <c r="E626" s="1151"/>
      <c r="F626" s="1151"/>
      <c r="G626" s="1151"/>
      <c r="H626" s="1151"/>
      <c r="I626" s="1151"/>
      <c r="J626" s="1151"/>
      <c r="K626" s="1151"/>
      <c r="L626" s="1152"/>
      <c r="M626" s="628"/>
      <c r="O626" s="633"/>
    </row>
    <row r="627" spans="1:25" ht="15.6" thickBot="1">
      <c r="A627" s="1131"/>
      <c r="B627" s="1162"/>
      <c r="C627" s="634"/>
      <c r="D627" s="628"/>
      <c r="E627" s="628"/>
      <c r="F627" s="1153" t="s">
        <v>177</v>
      </c>
      <c r="G627" s="1154"/>
      <c r="H627" s="628"/>
      <c r="I627" s="628"/>
      <c r="J627" s="628"/>
      <c r="K627" s="628"/>
      <c r="L627" s="635" t="s">
        <v>178</v>
      </c>
      <c r="M627" s="642"/>
      <c r="O627" s="633"/>
    </row>
    <row r="628" spans="1:25">
      <c r="A628" s="1128" t="s">
        <v>518</v>
      </c>
      <c r="B628" s="1129"/>
      <c r="C628" s="1155" t="s">
        <v>931</v>
      </c>
      <c r="D628" s="1156"/>
      <c r="E628" s="1156"/>
      <c r="F628" s="1159"/>
      <c r="G628" s="1160"/>
      <c r="H628" s="1161"/>
      <c r="I628" s="1156"/>
      <c r="J628" s="1156"/>
      <c r="K628" s="1156"/>
      <c r="L628" s="636"/>
      <c r="M628" s="721"/>
    </row>
    <row r="629" spans="1:25">
      <c r="A629" s="1128" t="s">
        <v>515</v>
      </c>
      <c r="B629" s="1129"/>
      <c r="C629" s="1145" t="s">
        <v>932</v>
      </c>
      <c r="D629" s="1146"/>
      <c r="E629" s="1146"/>
      <c r="F629" s="1133"/>
      <c r="G629" s="1134"/>
      <c r="H629" s="1148" t="s">
        <v>933</v>
      </c>
      <c r="I629" s="1146"/>
      <c r="J629" s="1146"/>
      <c r="K629" s="1146"/>
      <c r="L629" s="671">
        <v>0</v>
      </c>
      <c r="M629" s="724"/>
    </row>
    <row r="630" spans="1:25">
      <c r="A630" s="1128" t="s">
        <v>512</v>
      </c>
      <c r="B630" s="1129"/>
      <c r="C630" s="1145" t="s">
        <v>934</v>
      </c>
      <c r="D630" s="1146"/>
      <c r="E630" s="1146"/>
      <c r="F630" s="1147"/>
      <c r="G630" s="1134"/>
      <c r="H630" s="1148" t="s">
        <v>1632</v>
      </c>
      <c r="I630" s="1146"/>
      <c r="J630" s="1146"/>
      <c r="K630" s="1146"/>
      <c r="L630" s="674">
        <f>L629*L669</f>
        <v>0</v>
      </c>
      <c r="M630" s="722"/>
    </row>
    <row r="631" spans="1:25" ht="15.6" thickBot="1">
      <c r="A631" s="1128" t="s">
        <v>510</v>
      </c>
      <c r="B631" s="978"/>
      <c r="C631" s="1145" t="s">
        <v>935</v>
      </c>
      <c r="D631" s="1146"/>
      <c r="E631" s="1146"/>
      <c r="F631" s="1133"/>
      <c r="G631" s="1134"/>
      <c r="H631" s="1148"/>
      <c r="I631" s="1146"/>
      <c r="J631" s="1146"/>
      <c r="K631" s="1146"/>
      <c r="L631" s="664"/>
      <c r="M631" s="723"/>
    </row>
    <row r="632" spans="1:25" ht="15" customHeight="1">
      <c r="A632" s="1128" t="s">
        <v>96</v>
      </c>
      <c r="B632" s="978"/>
      <c r="C632" s="246" t="s">
        <v>1620</v>
      </c>
      <c r="D632" s="665"/>
      <c r="E632" s="665"/>
      <c r="F632" s="665"/>
      <c r="G632" s="665"/>
      <c r="H632" s="665"/>
      <c r="I632" s="665"/>
      <c r="J632" s="665"/>
      <c r="K632" s="665"/>
      <c r="L632" s="676">
        <f>+'11 - Facilities'!N526</f>
        <v>0</v>
      </c>
      <c r="X632" s="8"/>
      <c r="Y632" s="637"/>
    </row>
    <row r="633" spans="1:25">
      <c r="A633" s="1128" t="s">
        <v>95</v>
      </c>
      <c r="B633" s="978"/>
      <c r="C633" s="234" t="s">
        <v>956</v>
      </c>
      <c r="D633" s="628"/>
      <c r="E633" s="628"/>
      <c r="F633" s="628"/>
      <c r="G633" s="663"/>
      <c r="H633" s="628"/>
      <c r="I633" s="628"/>
      <c r="J633" s="628"/>
      <c r="K633" s="628"/>
      <c r="L633" s="673">
        <f>Inputs!$D$112</f>
        <v>85279144.388324827</v>
      </c>
      <c r="X633" s="8"/>
      <c r="Y633" s="637"/>
    </row>
    <row r="634" spans="1:25">
      <c r="A634" s="1128" t="s">
        <v>93</v>
      </c>
      <c r="B634" s="978"/>
      <c r="C634" s="234" t="s">
        <v>957</v>
      </c>
      <c r="D634" s="628"/>
      <c r="E634" s="628"/>
      <c r="F634" s="628"/>
      <c r="G634" s="663"/>
      <c r="H634" s="628"/>
      <c r="I634" s="628"/>
      <c r="J634" s="628"/>
      <c r="K634" s="628"/>
      <c r="L634" s="673">
        <f>Inputs!$D$113</f>
        <v>35519691.656922147</v>
      </c>
      <c r="X634" s="8"/>
      <c r="Y634" s="637"/>
    </row>
    <row r="635" spans="1:25" ht="15" customHeight="1">
      <c r="A635" s="1128" t="s">
        <v>92</v>
      </c>
      <c r="B635" s="978"/>
      <c r="C635" s="661" t="s">
        <v>975</v>
      </c>
      <c r="D635" s="628"/>
      <c r="E635" s="628"/>
      <c r="F635" s="628"/>
      <c r="G635" s="663"/>
      <c r="H635" s="628"/>
      <c r="I635" s="628"/>
      <c r="J635" s="628"/>
      <c r="K635" s="628"/>
      <c r="L635" s="673">
        <f>L633-L634</f>
        <v>49759452.73140268</v>
      </c>
      <c r="X635" s="8"/>
      <c r="Y635" s="637"/>
    </row>
    <row r="636" spans="1:25">
      <c r="A636" s="1128" t="s">
        <v>107</v>
      </c>
      <c r="B636" s="978"/>
      <c r="C636" s="661" t="s">
        <v>976</v>
      </c>
      <c r="D636" s="628"/>
      <c r="E636" s="628"/>
      <c r="F636" s="628"/>
      <c r="G636" s="663"/>
      <c r="H636" s="628"/>
      <c r="I636" s="628"/>
      <c r="J636" s="628"/>
      <c r="K636" s="628"/>
      <c r="L636" s="677">
        <f>L632/L635</f>
        <v>0</v>
      </c>
      <c r="X636" s="8"/>
      <c r="Y636" s="637"/>
    </row>
    <row r="637" spans="1:25">
      <c r="A637" s="1128" t="s">
        <v>105</v>
      </c>
      <c r="B637" s="978"/>
      <c r="C637" s="661"/>
      <c r="D637" s="628"/>
      <c r="E637" s="628"/>
      <c r="F637" s="628"/>
      <c r="G637" s="663"/>
      <c r="H637" s="628"/>
      <c r="I637" s="628"/>
      <c r="J637" s="628"/>
      <c r="K637" s="628"/>
      <c r="L637" s="677"/>
      <c r="X637" s="8"/>
      <c r="Y637" s="637"/>
    </row>
    <row r="638" spans="1:25" ht="15.6">
      <c r="A638" s="1128" t="s">
        <v>104</v>
      </c>
      <c r="B638" s="978"/>
      <c r="C638" s="666" t="s">
        <v>967</v>
      </c>
      <c r="D638" s="628"/>
      <c r="E638" s="628"/>
      <c r="F638" s="628"/>
      <c r="G638" s="663"/>
      <c r="H638" s="628"/>
      <c r="I638" s="628"/>
      <c r="J638" s="628"/>
      <c r="K638" s="628"/>
      <c r="L638" s="677"/>
      <c r="X638" s="8"/>
      <c r="Y638" s="637"/>
    </row>
    <row r="639" spans="1:25">
      <c r="A639" s="1128" t="s">
        <v>103</v>
      </c>
      <c r="B639" s="978"/>
      <c r="C639" s="661" t="s">
        <v>1622</v>
      </c>
      <c r="D639" s="628"/>
      <c r="E639" s="628"/>
      <c r="F639" s="628"/>
      <c r="G639" s="663"/>
      <c r="H639" s="628"/>
      <c r="I639" s="628"/>
      <c r="J639" s="628"/>
      <c r="K639" s="628"/>
      <c r="L639" s="673">
        <f>+AppendixA!$H$48-AppendixA!$H$62</f>
        <v>701728.60760892951</v>
      </c>
      <c r="X639" s="8"/>
      <c r="Y639" s="637"/>
    </row>
    <row r="640" spans="1:25">
      <c r="A640" s="1128" t="s">
        <v>727</v>
      </c>
      <c r="B640" s="978"/>
      <c r="C640" s="661" t="s">
        <v>1623</v>
      </c>
      <c r="D640" s="628"/>
      <c r="E640" s="628"/>
      <c r="F640" s="628"/>
      <c r="G640" s="663"/>
      <c r="H640" s="628"/>
      <c r="I640" s="628"/>
      <c r="J640" s="628"/>
      <c r="K640" s="628"/>
      <c r="L640" s="673">
        <f>+L639*L636</f>
        <v>0</v>
      </c>
      <c r="X640" s="8"/>
      <c r="Y640" s="637"/>
    </row>
    <row r="641" spans="1:25">
      <c r="A641" s="1128" t="s">
        <v>728</v>
      </c>
      <c r="B641" s="978"/>
      <c r="C641" s="880"/>
      <c r="D641" s="628"/>
      <c r="E641" s="628"/>
      <c r="F641" s="628"/>
      <c r="G641" s="663"/>
      <c r="H641" s="628"/>
      <c r="I641" s="628"/>
      <c r="J641" s="628"/>
      <c r="K641" s="628"/>
      <c r="L641" s="890"/>
      <c r="X641" s="8"/>
      <c r="Y641" s="637"/>
    </row>
    <row r="642" spans="1:25" ht="15.6">
      <c r="A642" s="1128" t="s">
        <v>745</v>
      </c>
      <c r="B642" s="1132"/>
      <c r="C642" s="666" t="s">
        <v>1644</v>
      </c>
      <c r="D642" s="628"/>
      <c r="E642" s="628"/>
      <c r="F642" s="628"/>
      <c r="G642" s="663"/>
      <c r="H642" s="628"/>
      <c r="I642" s="628"/>
      <c r="J642" s="628"/>
      <c r="K642" s="628"/>
      <c r="L642" s="664"/>
      <c r="X642" s="8"/>
      <c r="Y642" s="637"/>
    </row>
    <row r="643" spans="1:25">
      <c r="A643" s="1128" t="s">
        <v>746</v>
      </c>
      <c r="B643" s="1132"/>
      <c r="C643" s="661" t="s">
        <v>958</v>
      </c>
      <c r="D643" s="628"/>
      <c r="E643" s="628"/>
      <c r="F643" s="628"/>
      <c r="G643" s="663"/>
      <c r="H643" s="628"/>
      <c r="I643" s="628"/>
      <c r="J643" s="628"/>
      <c r="K643" s="628"/>
      <c r="L643" s="673">
        <f>AppendixA!$H$95</f>
        <v>-5612988.9467919813</v>
      </c>
      <c r="X643" s="8"/>
      <c r="Y643" s="637"/>
    </row>
    <row r="644" spans="1:25">
      <c r="A644" s="1128" t="s">
        <v>747</v>
      </c>
      <c r="B644" s="1132"/>
      <c r="C644" s="661" t="s">
        <v>1655</v>
      </c>
      <c r="D644" s="628"/>
      <c r="E644" s="628"/>
      <c r="F644" s="628"/>
      <c r="G644" s="663"/>
      <c r="H644" s="628"/>
      <c r="I644" s="628"/>
      <c r="J644" s="628"/>
      <c r="K644" s="628"/>
      <c r="L644" s="673">
        <f>L643*L636</f>
        <v>0</v>
      </c>
      <c r="X644" s="8"/>
      <c r="Y644" s="637"/>
    </row>
    <row r="645" spans="1:25">
      <c r="A645" s="1128" t="s">
        <v>748</v>
      </c>
      <c r="B645" s="978"/>
      <c r="C645" s="661" t="s">
        <v>1656</v>
      </c>
      <c r="D645" s="628"/>
      <c r="E645" s="628"/>
      <c r="F645" s="628"/>
      <c r="G645" s="663"/>
      <c r="H645" s="628"/>
      <c r="I645" s="628"/>
      <c r="J645" s="628"/>
      <c r="K645" s="628"/>
      <c r="L645" s="673">
        <f>L632+L644+L640</f>
        <v>0</v>
      </c>
      <c r="X645" s="8"/>
      <c r="Y645" s="637"/>
    </row>
    <row r="646" spans="1:25">
      <c r="A646" s="1128" t="s">
        <v>749</v>
      </c>
      <c r="B646" s="978"/>
      <c r="C646" s="661" t="s">
        <v>959</v>
      </c>
      <c r="D646" s="628"/>
      <c r="E646" s="628"/>
      <c r="F646" s="628"/>
      <c r="G646" s="663"/>
      <c r="H646" s="628"/>
      <c r="I646" s="628"/>
      <c r="J646" s="628"/>
      <c r="K646" s="628"/>
      <c r="L646" s="677">
        <f>AppendixA!$H$182</f>
        <v>7.3603939048291073E-2</v>
      </c>
      <c r="X646" s="8"/>
      <c r="Y646" s="637"/>
    </row>
    <row r="647" spans="1:25">
      <c r="A647" s="1128" t="s">
        <v>750</v>
      </c>
      <c r="B647" s="978"/>
      <c r="C647" s="661" t="s">
        <v>1657</v>
      </c>
      <c r="D647" s="628"/>
      <c r="E647" s="628"/>
      <c r="F647" s="628"/>
      <c r="G647" s="663"/>
      <c r="H647" s="628"/>
      <c r="I647" s="628"/>
      <c r="J647" s="628"/>
      <c r="K647" s="628"/>
      <c r="L647" s="673">
        <f>L645*L646</f>
        <v>0</v>
      </c>
      <c r="X647" s="8"/>
      <c r="Y647" s="637"/>
    </row>
    <row r="648" spans="1:25">
      <c r="A648" s="878"/>
      <c r="B648" s="882" t="s">
        <v>751</v>
      </c>
      <c r="C648" s="661"/>
      <c r="D648" s="628"/>
      <c r="E648" s="628"/>
      <c r="F648" s="628"/>
      <c r="G648" s="663"/>
      <c r="H648" s="628"/>
      <c r="I648" s="628"/>
      <c r="J648" s="628"/>
      <c r="K648" s="628"/>
      <c r="L648" s="673"/>
      <c r="X648" s="8"/>
      <c r="Y648" s="637"/>
    </row>
    <row r="649" spans="1:25" ht="15.6">
      <c r="A649" s="1128" t="s">
        <v>936</v>
      </c>
      <c r="B649" s="978"/>
      <c r="C649" s="666" t="s">
        <v>1645</v>
      </c>
      <c r="D649" s="628"/>
      <c r="E649" s="628"/>
      <c r="F649" s="628"/>
      <c r="G649" s="663"/>
      <c r="H649" s="628"/>
      <c r="I649" s="628"/>
      <c r="J649" s="628"/>
      <c r="K649" s="628"/>
      <c r="L649" s="673"/>
      <c r="X649" s="8"/>
      <c r="Y649" s="637"/>
    </row>
    <row r="650" spans="1:25">
      <c r="A650" s="1128">
        <v>24</v>
      </c>
      <c r="B650" s="978"/>
      <c r="C650" s="661" t="s">
        <v>1647</v>
      </c>
      <c r="D650" s="628"/>
      <c r="E650" s="628"/>
      <c r="F650" s="628"/>
      <c r="G650" s="663"/>
      <c r="H650" s="628"/>
      <c r="I650" s="628"/>
      <c r="J650" s="628"/>
      <c r="K650" s="628"/>
      <c r="L650" s="673">
        <f>+AppendixA!$H$141</f>
        <v>62220.916888344676</v>
      </c>
      <c r="X650" s="8"/>
      <c r="Y650" s="637"/>
    </row>
    <row r="651" spans="1:25">
      <c r="A651" s="1128" t="s">
        <v>937</v>
      </c>
      <c r="B651" s="978"/>
      <c r="C651" s="885"/>
      <c r="D651" s="886"/>
      <c r="E651" s="886"/>
      <c r="F651" s="886"/>
      <c r="G651" s="887"/>
      <c r="H651" s="886"/>
      <c r="I651" s="886"/>
      <c r="J651" s="886"/>
      <c r="K651" s="886"/>
      <c r="L651" s="888"/>
      <c r="X651" s="8"/>
      <c r="Y651" s="637"/>
    </row>
    <row r="652" spans="1:25">
      <c r="A652" s="1128" t="s">
        <v>938</v>
      </c>
      <c r="B652" s="978"/>
      <c r="C652" s="661" t="s">
        <v>1646</v>
      </c>
      <c r="D652" s="628"/>
      <c r="E652" s="628"/>
      <c r="F652" s="628"/>
      <c r="G652" s="663"/>
      <c r="H652" s="628"/>
      <c r="I652" s="628"/>
      <c r="J652" s="628"/>
      <c r="K652" s="628"/>
      <c r="L652" s="673">
        <f>+L650*L636</f>
        <v>0</v>
      </c>
      <c r="X652" s="8"/>
      <c r="Y652" s="637"/>
    </row>
    <row r="653" spans="1:25">
      <c r="A653" s="1128" t="s">
        <v>939</v>
      </c>
      <c r="B653" s="978"/>
      <c r="C653" s="661"/>
      <c r="D653" s="628"/>
      <c r="E653" s="628"/>
      <c r="F653" s="628"/>
      <c r="G653" s="663"/>
      <c r="H653" s="628"/>
      <c r="I653" s="628"/>
      <c r="J653" s="628"/>
      <c r="K653" s="628"/>
      <c r="L653" s="664"/>
      <c r="X653" s="8"/>
      <c r="Y653" s="637"/>
    </row>
    <row r="654" spans="1:25" ht="15.6">
      <c r="A654" s="1128" t="s">
        <v>940</v>
      </c>
      <c r="B654" s="978"/>
      <c r="C654" s="666" t="s">
        <v>960</v>
      </c>
      <c r="D654" s="628"/>
      <c r="E654" s="628"/>
      <c r="F654" s="628"/>
      <c r="G654" s="663"/>
      <c r="H654" s="628"/>
      <c r="I654" s="628"/>
      <c r="J654" s="628"/>
      <c r="K654" s="628"/>
      <c r="L654" s="664"/>
      <c r="X654" s="8"/>
      <c r="Y654" s="637"/>
    </row>
    <row r="655" spans="1:25">
      <c r="A655" s="1128" t="s">
        <v>968</v>
      </c>
      <c r="B655" s="978"/>
      <c r="C655" s="661" t="s">
        <v>961</v>
      </c>
      <c r="D655" s="628"/>
      <c r="E655" s="628"/>
      <c r="F655" s="628"/>
      <c r="G655" s="663"/>
      <c r="H655" s="628"/>
      <c r="I655" s="628"/>
      <c r="J655" s="628"/>
      <c r="K655" s="628"/>
      <c r="L655" s="673">
        <f>AppendixA!$H$130</f>
        <v>1172367.8913758555</v>
      </c>
      <c r="X655" s="8"/>
      <c r="Y655" s="637"/>
    </row>
    <row r="656" spans="1:25">
      <c r="A656" s="1128" t="s">
        <v>969</v>
      </c>
      <c r="B656" s="978"/>
      <c r="C656" s="661" t="s">
        <v>1658</v>
      </c>
      <c r="D656" s="628"/>
      <c r="E656" s="628"/>
      <c r="F656" s="628"/>
      <c r="G656" s="663"/>
      <c r="H656" s="628"/>
      <c r="I656" s="628"/>
      <c r="J656" s="628"/>
      <c r="K656" s="628"/>
      <c r="L656" s="673">
        <f>L636*L655</f>
        <v>0</v>
      </c>
      <c r="X656" s="8"/>
      <c r="Y656" s="637"/>
    </row>
    <row r="657" spans="1:25">
      <c r="A657" s="1128" t="s">
        <v>970</v>
      </c>
      <c r="B657" s="978"/>
      <c r="C657" s="661"/>
      <c r="D657" s="628"/>
      <c r="E657" s="628"/>
      <c r="F657" s="628"/>
      <c r="G657" s="663"/>
      <c r="H657" s="628"/>
      <c r="I657" s="628"/>
      <c r="J657" s="628"/>
      <c r="K657" s="628"/>
      <c r="L657" s="664"/>
      <c r="X657" s="8"/>
      <c r="Y657" s="637"/>
    </row>
    <row r="658" spans="1:25" ht="15.6">
      <c r="A658" s="1128" t="s">
        <v>971</v>
      </c>
      <c r="B658" s="978"/>
      <c r="C658" s="666" t="s">
        <v>1621</v>
      </c>
      <c r="D658" s="628"/>
      <c r="E658" s="628"/>
      <c r="F658" s="628"/>
      <c r="G658" s="663"/>
      <c r="H658" s="628"/>
      <c r="I658" s="628"/>
      <c r="J658" s="628"/>
      <c r="K658" s="628"/>
      <c r="L658" s="664"/>
      <c r="X658" s="8"/>
      <c r="Y658" s="637"/>
    </row>
    <row r="659" spans="1:25">
      <c r="A659" s="1128" t="s">
        <v>1633</v>
      </c>
      <c r="B659" s="978"/>
      <c r="C659" s="661" t="s">
        <v>1648</v>
      </c>
      <c r="D659" s="628"/>
      <c r="E659" s="628"/>
      <c r="F659" s="628"/>
      <c r="G659" s="663"/>
      <c r="H659" s="628"/>
      <c r="I659" s="628"/>
      <c r="J659" s="628"/>
      <c r="K659" s="628"/>
      <c r="L659" s="675">
        <f>+'11 - Facilities'!O526</f>
        <v>0</v>
      </c>
      <c r="X659" s="8"/>
      <c r="Y659" s="637"/>
    </row>
    <row r="660" spans="1:25">
      <c r="A660" s="1128" t="s">
        <v>1624</v>
      </c>
      <c r="B660" s="978"/>
      <c r="C660" s="661"/>
      <c r="D660" s="628"/>
      <c r="E660" s="628"/>
      <c r="F660" s="628"/>
      <c r="G660" s="663"/>
      <c r="H660" s="628"/>
      <c r="I660" s="628"/>
      <c r="J660" s="628"/>
      <c r="K660" s="628"/>
      <c r="L660" s="673"/>
      <c r="X660" s="8"/>
      <c r="Y660" s="637"/>
    </row>
    <row r="661" spans="1:25" ht="15.6">
      <c r="A661" s="1128" t="s">
        <v>1625</v>
      </c>
      <c r="B661" s="1132"/>
      <c r="C661" s="666" t="s">
        <v>962</v>
      </c>
      <c r="D661" s="628"/>
      <c r="E661" s="628"/>
      <c r="F661" s="628"/>
      <c r="G661" s="663"/>
      <c r="H661" s="628"/>
      <c r="I661" s="628"/>
      <c r="J661" s="628"/>
      <c r="K661" s="628"/>
      <c r="L661" s="673"/>
      <c r="X661" s="8"/>
      <c r="Y661" s="637"/>
    </row>
    <row r="662" spans="1:25">
      <c r="A662" s="1128" t="s">
        <v>1634</v>
      </c>
      <c r="B662" s="978"/>
      <c r="C662" s="661" t="s">
        <v>963</v>
      </c>
      <c r="D662" s="628"/>
      <c r="E662" s="628"/>
      <c r="F662" s="628"/>
      <c r="G662" s="663"/>
      <c r="H662" s="628"/>
      <c r="I662" s="628"/>
      <c r="J662" s="628"/>
      <c r="K662" s="628"/>
      <c r="L662" s="673">
        <f>AppendixA!$H$149</f>
        <v>420701.86116179236</v>
      </c>
      <c r="X662" s="8"/>
      <c r="Y662" s="637"/>
    </row>
    <row r="663" spans="1:25">
      <c r="A663" s="1128" t="s">
        <v>1635</v>
      </c>
      <c r="B663" s="978"/>
      <c r="C663" s="661" t="s">
        <v>1649</v>
      </c>
      <c r="D663" s="628"/>
      <c r="E663" s="628"/>
      <c r="F663" s="628"/>
      <c r="G663" s="663"/>
      <c r="H663" s="883"/>
      <c r="I663" s="628"/>
      <c r="J663" s="628"/>
      <c r="K663" s="628"/>
      <c r="L663" s="673">
        <f>L636*L662</f>
        <v>0</v>
      </c>
      <c r="X663" s="8"/>
      <c r="Y663" s="637"/>
    </row>
    <row r="664" spans="1:25">
      <c r="A664" s="1128" t="s">
        <v>1626</v>
      </c>
      <c r="B664" s="978"/>
      <c r="C664" s="661"/>
      <c r="D664" s="628"/>
      <c r="E664" s="628"/>
      <c r="F664" s="628"/>
      <c r="G664" s="663"/>
      <c r="H664" s="628"/>
      <c r="I664" s="628"/>
      <c r="J664" s="628"/>
      <c r="K664" s="628"/>
      <c r="L664" s="673"/>
      <c r="X664" s="8"/>
      <c r="Y664" s="637"/>
    </row>
    <row r="665" spans="1:25" ht="15.6">
      <c r="A665" s="1128" t="s">
        <v>1627</v>
      </c>
      <c r="B665" s="1132"/>
      <c r="C665" s="666" t="s">
        <v>964</v>
      </c>
      <c r="D665" s="628"/>
      <c r="E665" s="628"/>
      <c r="F665" s="628"/>
      <c r="G665" s="663"/>
      <c r="H665" s="628"/>
      <c r="I665" s="628"/>
      <c r="J665" s="628"/>
      <c r="K665" s="628"/>
      <c r="L665" s="673"/>
      <c r="X665" s="8"/>
      <c r="Y665" s="637"/>
    </row>
    <row r="666" spans="1:25">
      <c r="A666" s="1128" t="s">
        <v>1636</v>
      </c>
      <c r="B666" s="978"/>
      <c r="C666" s="661" t="s">
        <v>965</v>
      </c>
      <c r="D666" s="628"/>
      <c r="E666" s="628"/>
      <c r="F666" s="628"/>
      <c r="G666" s="663"/>
      <c r="H666" s="628"/>
      <c r="I666" s="628"/>
      <c r="J666" s="628"/>
      <c r="K666" s="628"/>
      <c r="L666" s="673">
        <f>AppendixA!$H$228</f>
        <v>524818.20552830724</v>
      </c>
      <c r="X666" s="8"/>
      <c r="Y666" s="637"/>
    </row>
    <row r="667" spans="1:25">
      <c r="A667" s="1128" t="s">
        <v>1637</v>
      </c>
      <c r="B667" s="978"/>
      <c r="C667" s="661" t="s">
        <v>1650</v>
      </c>
      <c r="D667" s="628"/>
      <c r="E667" s="628"/>
      <c r="F667" s="628"/>
      <c r="G667" s="663"/>
      <c r="H667" s="628"/>
      <c r="I667" s="628"/>
      <c r="J667" s="628"/>
      <c r="K667" s="628"/>
      <c r="L667" s="673">
        <f>L636*L666</f>
        <v>0</v>
      </c>
      <c r="X667" s="8"/>
      <c r="Y667" s="637"/>
    </row>
    <row r="668" spans="1:25">
      <c r="A668" s="1128" t="s">
        <v>1628</v>
      </c>
      <c r="B668" s="1132"/>
      <c r="C668" s="661"/>
      <c r="D668" s="628"/>
      <c r="E668" s="628"/>
      <c r="F668" s="628"/>
      <c r="G668" s="663"/>
      <c r="H668" s="628"/>
      <c r="I668" s="628"/>
      <c r="J668" s="628"/>
      <c r="K668" s="628"/>
      <c r="L668" s="673"/>
      <c r="X668" s="8"/>
      <c r="Y668" s="637"/>
    </row>
    <row r="669" spans="1:25" ht="15.6">
      <c r="A669" s="1128" t="s">
        <v>1638</v>
      </c>
      <c r="B669" s="978"/>
      <c r="C669" s="666" t="s">
        <v>1651</v>
      </c>
      <c r="D669" s="883"/>
      <c r="E669" s="883"/>
      <c r="F669" s="889"/>
      <c r="G669" s="884"/>
      <c r="H669" s="883"/>
      <c r="I669" s="883"/>
      <c r="J669" s="883"/>
      <c r="K669" s="628"/>
      <c r="L669" s="673">
        <f>L647+L656+L659+L663+L667+L652</f>
        <v>0</v>
      </c>
      <c r="X669" s="8"/>
      <c r="Y669" s="637"/>
    </row>
    <row r="670" spans="1:25" ht="15.6">
      <c r="A670" s="1128" t="s">
        <v>1629</v>
      </c>
      <c r="B670" s="1132"/>
      <c r="C670" s="666"/>
      <c r="D670" s="628"/>
      <c r="E670" s="628"/>
      <c r="F670" s="662"/>
      <c r="G670" s="663"/>
      <c r="H670" s="628"/>
      <c r="I670" s="628"/>
      <c r="J670" s="628"/>
      <c r="K670" s="628"/>
      <c r="L670" s="664"/>
      <c r="X670" s="8"/>
      <c r="Y670" s="637"/>
    </row>
    <row r="671" spans="1:25">
      <c r="A671" s="1128" t="s">
        <v>1639</v>
      </c>
      <c r="B671" s="978"/>
      <c r="C671" s="661" t="s">
        <v>928</v>
      </c>
      <c r="D671" s="628"/>
      <c r="E671" s="628"/>
      <c r="F671" s="662"/>
      <c r="G671" s="663"/>
      <c r="H671" s="628"/>
      <c r="I671" s="628"/>
      <c r="J671" s="628"/>
      <c r="K671" s="628"/>
      <c r="L671" s="682">
        <f>AppendixA!$H$212</f>
        <v>0.2658227848101265</v>
      </c>
      <c r="X671" s="8"/>
      <c r="Y671" s="637"/>
    </row>
    <row r="672" spans="1:25">
      <c r="A672" s="1128" t="s">
        <v>1640</v>
      </c>
      <c r="B672" s="978"/>
      <c r="C672" s="661" t="s">
        <v>929</v>
      </c>
      <c r="D672" s="628"/>
      <c r="E672" s="628"/>
      <c r="F672" s="662"/>
      <c r="G672" s="663"/>
      <c r="H672" s="628"/>
      <c r="I672" s="628"/>
      <c r="J672" s="628"/>
      <c r="K672" s="628"/>
      <c r="L672" s="677">
        <f>'6-WACC'!$G$16</f>
        <v>0.50515815125064667</v>
      </c>
      <c r="X672" s="8"/>
      <c r="Y672" s="637"/>
    </row>
    <row r="673" spans="1:25">
      <c r="A673" s="1128" t="s">
        <v>1641</v>
      </c>
      <c r="B673" s="978"/>
      <c r="C673" s="661" t="s">
        <v>1659</v>
      </c>
      <c r="D673" s="628"/>
      <c r="E673" s="628"/>
      <c r="F673" s="662"/>
      <c r="G673" s="663"/>
      <c r="H673" s="628"/>
      <c r="I673" s="628"/>
      <c r="J673" s="628"/>
      <c r="K673" s="628"/>
      <c r="L673" s="677">
        <f>((0.01/L671)*L672*100)</f>
        <v>1.9003568547048142</v>
      </c>
      <c r="X673" s="8"/>
      <c r="Y673" s="637"/>
    </row>
    <row r="674" spans="1:25">
      <c r="A674" s="1128" t="s">
        <v>1642</v>
      </c>
      <c r="B674" s="978"/>
      <c r="C674" s="661" t="s">
        <v>1660</v>
      </c>
      <c r="D674" s="628"/>
      <c r="E674" s="628"/>
      <c r="F674" s="662"/>
      <c r="G674" s="663"/>
      <c r="H674" s="628"/>
      <c r="I674" s="628"/>
      <c r="J674" s="628"/>
      <c r="K674" s="628"/>
      <c r="L674" s="673">
        <f>L630*L645</f>
        <v>0</v>
      </c>
      <c r="X674" s="8"/>
      <c r="Y674" s="637"/>
    </row>
    <row r="675" spans="1:25" ht="15.6">
      <c r="A675" s="1128" t="s">
        <v>1630</v>
      </c>
      <c r="B675" s="1132"/>
      <c r="C675" s="666"/>
      <c r="D675" s="628"/>
      <c r="E675" s="628"/>
      <c r="F675" s="662"/>
      <c r="G675" s="663"/>
      <c r="H675" s="628"/>
      <c r="I675" s="628"/>
      <c r="J675" s="628"/>
      <c r="K675" s="628"/>
      <c r="L675" s="673"/>
      <c r="X675" s="8"/>
      <c r="Y675" s="637"/>
    </row>
    <row r="676" spans="1:25" ht="15.6">
      <c r="A676" s="1128" t="s">
        <v>1643</v>
      </c>
      <c r="B676" s="978"/>
      <c r="C676" s="666" t="s">
        <v>1661</v>
      </c>
      <c r="D676" s="628"/>
      <c r="E676" s="628"/>
      <c r="F676" s="662"/>
      <c r="G676" s="663"/>
      <c r="H676" s="628"/>
      <c r="I676" s="628"/>
      <c r="J676" s="628"/>
      <c r="K676" s="628"/>
      <c r="L676" s="673">
        <f>L669+L674</f>
        <v>0</v>
      </c>
      <c r="X676" s="8"/>
      <c r="Y676" s="637"/>
    </row>
    <row r="677" spans="1:25" ht="15.6" thickBot="1">
      <c r="A677" s="1128"/>
      <c r="B677" s="1132"/>
      <c r="C677" s="667"/>
      <c r="D677" s="668"/>
      <c r="E677" s="668"/>
      <c r="F677" s="669"/>
      <c r="G677" s="670"/>
      <c r="H677" s="668"/>
      <c r="I677" s="668"/>
      <c r="J677" s="668"/>
      <c r="K677" s="668"/>
      <c r="L677" s="678"/>
      <c r="X677" s="8"/>
      <c r="Y677" s="637"/>
    </row>
    <row r="678" spans="1:25">
      <c r="A678" s="672"/>
      <c r="B678" s="672"/>
      <c r="C678" s="642"/>
      <c r="D678" s="628"/>
      <c r="E678" s="641"/>
      <c r="F678" s="628"/>
      <c r="G678" s="641"/>
      <c r="H678" s="628"/>
      <c r="I678" s="638"/>
      <c r="J678" s="638"/>
      <c r="K678" s="639"/>
      <c r="L678" s="638"/>
      <c r="W678" s="222"/>
      <c r="X678" s="222"/>
      <c r="Y678" s="222"/>
    </row>
    <row r="679" spans="1:25">
      <c r="A679" s="8" t="s">
        <v>941</v>
      </c>
      <c r="B679" s="8"/>
      <c r="C679" s="8"/>
      <c r="D679" s="8"/>
      <c r="E679" s="8"/>
      <c r="F679" s="8"/>
      <c r="G679" s="8"/>
      <c r="H679" s="8"/>
      <c r="I679" s="8"/>
      <c r="J679" s="8"/>
      <c r="K679" s="8"/>
      <c r="L679" s="8"/>
      <c r="M679" s="8"/>
      <c r="N679" s="640"/>
      <c r="O679" s="10"/>
      <c r="P679" s="222"/>
      <c r="Q679" s="222"/>
      <c r="R679" s="222"/>
      <c r="S679" s="222"/>
      <c r="T679" s="222"/>
      <c r="U679" s="10"/>
      <c r="V679" s="222"/>
      <c r="W679" s="222"/>
      <c r="X679" s="222"/>
      <c r="Y679" s="222"/>
    </row>
    <row r="680" spans="1:25">
      <c r="B680" s="10" t="s">
        <v>441</v>
      </c>
      <c r="C680" s="628"/>
      <c r="D680" s="628"/>
      <c r="E680" s="628"/>
      <c r="F680" s="628"/>
      <c r="G680" s="628"/>
      <c r="H680" s="628"/>
      <c r="I680" s="628"/>
      <c r="J680" s="628"/>
      <c r="K680" s="628"/>
      <c r="L680" s="628"/>
      <c r="M680" s="628"/>
      <c r="N680" s="640"/>
      <c r="O680" s="10"/>
      <c r="P680" s="222"/>
      <c r="Q680" s="222"/>
      <c r="R680" s="222"/>
      <c r="S680" s="222"/>
      <c r="T680" s="222"/>
      <c r="U680" s="10"/>
      <c r="V680" s="222"/>
      <c r="W680" s="222"/>
      <c r="X680" s="222"/>
      <c r="Y680" s="222"/>
    </row>
    <row r="681" spans="1:25">
      <c r="C681" s="628"/>
      <c r="D681" s="628"/>
      <c r="E681" s="628"/>
      <c r="F681" s="628"/>
      <c r="G681" s="10"/>
      <c r="H681" s="628"/>
      <c r="I681" s="628"/>
      <c r="J681" s="10" t="s">
        <v>917</v>
      </c>
      <c r="K681" s="628"/>
      <c r="L681" s="628"/>
      <c r="M681" s="628"/>
    </row>
    <row r="682" spans="1:25">
      <c r="C682" s="628"/>
      <c r="D682" s="628"/>
      <c r="E682" s="628"/>
      <c r="F682" s="628"/>
      <c r="G682" s="10"/>
      <c r="H682" s="628"/>
      <c r="I682" s="628"/>
      <c r="J682" s="647" t="s">
        <v>949</v>
      </c>
      <c r="K682" s="628"/>
      <c r="L682" s="628"/>
      <c r="M682" s="628"/>
    </row>
    <row r="683" spans="1:25" ht="15.6">
      <c r="B683" s="975" t="s">
        <v>983</v>
      </c>
      <c r="C683" s="975"/>
      <c r="D683" s="975"/>
      <c r="E683" s="975"/>
      <c r="F683" s="975"/>
      <c r="G683" s="975"/>
      <c r="H683" s="975"/>
      <c r="I683" s="975"/>
      <c r="J683" s="975"/>
      <c r="K683" s="975"/>
      <c r="L683" s="975"/>
      <c r="M683" s="975"/>
      <c r="N683" s="975"/>
      <c r="O683" s="975"/>
    </row>
    <row r="684" spans="1:25">
      <c r="B684" s="976" t="str">
        <f>$B$2</f>
        <v>(For Rate Year Beginning April 1, 2026, Based on December 31, 2025 Data)</v>
      </c>
      <c r="C684" s="976"/>
      <c r="D684" s="976"/>
      <c r="E684" s="976"/>
      <c r="F684" s="976"/>
      <c r="G684" s="976"/>
      <c r="H684" s="976"/>
      <c r="I684" s="976"/>
      <c r="J684" s="976"/>
      <c r="K684" s="976"/>
      <c r="L684" s="976"/>
      <c r="M684" s="976"/>
      <c r="N684" s="976"/>
      <c r="O684" s="976"/>
    </row>
    <row r="686" spans="1:25" ht="15.6">
      <c r="A686" s="1157" t="s">
        <v>986</v>
      </c>
      <c r="B686" s="1158"/>
      <c r="C686" s="1158"/>
      <c r="D686" s="1158"/>
      <c r="E686" s="1158"/>
      <c r="F686" s="1158"/>
    </row>
    <row r="688" spans="1:25">
      <c r="B688" s="6" t="s">
        <v>926</v>
      </c>
    </row>
    <row r="689" spans="1:25">
      <c r="B689" s="6" t="s">
        <v>927</v>
      </c>
    </row>
    <row r="690" spans="1:25">
      <c r="B690" s="6" t="s">
        <v>972</v>
      </c>
    </row>
    <row r="691" spans="1:25">
      <c r="B691" s="6" t="s">
        <v>954</v>
      </c>
    </row>
    <row r="693" spans="1:25">
      <c r="A693" s="1130" t="s">
        <v>244</v>
      </c>
      <c r="B693" s="978"/>
    </row>
    <row r="694" spans="1:25" ht="6" customHeight="1" thickBot="1">
      <c r="A694" s="1131"/>
      <c r="B694" s="1131"/>
    </row>
    <row r="695" spans="1:25" ht="15.6" thickBot="1">
      <c r="A695" s="1128" t="s">
        <v>521</v>
      </c>
      <c r="B695" s="1129"/>
      <c r="C695" s="1149" t="s">
        <v>930</v>
      </c>
      <c r="D695" s="1150"/>
      <c r="E695" s="1151"/>
      <c r="F695" s="1151"/>
      <c r="G695" s="1151"/>
      <c r="H695" s="1151"/>
      <c r="I695" s="1151"/>
      <c r="J695" s="1151"/>
      <c r="K695" s="1151"/>
      <c r="L695" s="1152"/>
      <c r="M695" s="628"/>
      <c r="O695" s="633"/>
    </row>
    <row r="696" spans="1:25" ht="15.6" thickBot="1">
      <c r="A696" s="1131"/>
      <c r="B696" s="1162"/>
      <c r="C696" s="634"/>
      <c r="D696" s="628"/>
      <c r="E696" s="628"/>
      <c r="F696" s="1153" t="s">
        <v>177</v>
      </c>
      <c r="G696" s="1154"/>
      <c r="H696" s="628"/>
      <c r="I696" s="628"/>
      <c r="J696" s="628"/>
      <c r="K696" s="628"/>
      <c r="L696" s="635" t="s">
        <v>178</v>
      </c>
      <c r="M696" s="642"/>
      <c r="O696" s="633"/>
    </row>
    <row r="697" spans="1:25">
      <c r="A697" s="1128" t="s">
        <v>518</v>
      </c>
      <c r="B697" s="1129"/>
      <c r="C697" s="1155" t="s">
        <v>931</v>
      </c>
      <c r="D697" s="1156"/>
      <c r="E697" s="1156"/>
      <c r="F697" s="1159"/>
      <c r="G697" s="1160"/>
      <c r="H697" s="1161"/>
      <c r="I697" s="1156"/>
      <c r="J697" s="1156"/>
      <c r="K697" s="1156"/>
      <c r="L697" s="636"/>
      <c r="M697" s="721"/>
    </row>
    <row r="698" spans="1:25">
      <c r="A698" s="1128" t="s">
        <v>515</v>
      </c>
      <c r="B698" s="1129"/>
      <c r="C698" s="1145" t="s">
        <v>932</v>
      </c>
      <c r="D698" s="1146"/>
      <c r="E698" s="1146"/>
      <c r="F698" s="1133"/>
      <c r="G698" s="1134"/>
      <c r="H698" s="1148" t="s">
        <v>933</v>
      </c>
      <c r="I698" s="1146"/>
      <c r="J698" s="1146"/>
      <c r="K698" s="1146"/>
      <c r="L698" s="671">
        <v>0</v>
      </c>
      <c r="M698" s="724"/>
    </row>
    <row r="699" spans="1:25">
      <c r="A699" s="1128" t="s">
        <v>512</v>
      </c>
      <c r="B699" s="1129"/>
      <c r="C699" s="1145" t="s">
        <v>934</v>
      </c>
      <c r="D699" s="1146"/>
      <c r="E699" s="1146"/>
      <c r="F699" s="1147"/>
      <c r="G699" s="1134"/>
      <c r="H699" s="1148" t="s">
        <v>1632</v>
      </c>
      <c r="I699" s="1146"/>
      <c r="J699" s="1146"/>
      <c r="K699" s="1146"/>
      <c r="L699" s="674">
        <f>L698*L738</f>
        <v>0</v>
      </c>
      <c r="M699" s="722"/>
    </row>
    <row r="700" spans="1:25" ht="15.6" thickBot="1">
      <c r="A700" s="1128" t="s">
        <v>510</v>
      </c>
      <c r="B700" s="978"/>
      <c r="C700" s="1145" t="s">
        <v>935</v>
      </c>
      <c r="D700" s="1146"/>
      <c r="E700" s="1146"/>
      <c r="F700" s="1133"/>
      <c r="G700" s="1134"/>
      <c r="H700" s="1148"/>
      <c r="I700" s="1146"/>
      <c r="J700" s="1146"/>
      <c r="K700" s="1146"/>
      <c r="L700" s="664"/>
      <c r="M700" s="723"/>
    </row>
    <row r="701" spans="1:25" ht="15" customHeight="1">
      <c r="A701" s="1128" t="s">
        <v>96</v>
      </c>
      <c r="B701" s="978"/>
      <c r="C701" s="246" t="s">
        <v>1620</v>
      </c>
      <c r="D701" s="665"/>
      <c r="E701" s="665"/>
      <c r="F701" s="665"/>
      <c r="G701" s="665"/>
      <c r="H701" s="665"/>
      <c r="I701" s="665"/>
      <c r="J701" s="665"/>
      <c r="K701" s="665"/>
      <c r="L701" s="676">
        <f>+'11 - Facilities'!N595</f>
        <v>0</v>
      </c>
      <c r="X701" s="8"/>
      <c r="Y701" s="637"/>
    </row>
    <row r="702" spans="1:25">
      <c r="A702" s="1128" t="s">
        <v>95</v>
      </c>
      <c r="B702" s="978"/>
      <c r="C702" s="234" t="s">
        <v>956</v>
      </c>
      <c r="D702" s="628"/>
      <c r="E702" s="628"/>
      <c r="F702" s="628"/>
      <c r="G702" s="663"/>
      <c r="H702" s="628"/>
      <c r="I702" s="628"/>
      <c r="J702" s="628"/>
      <c r="K702" s="628"/>
      <c r="L702" s="673">
        <f>Inputs!$D$112</f>
        <v>85279144.388324827</v>
      </c>
      <c r="X702" s="8"/>
      <c r="Y702" s="637"/>
    </row>
    <row r="703" spans="1:25">
      <c r="A703" s="1128" t="s">
        <v>93</v>
      </c>
      <c r="B703" s="978"/>
      <c r="C703" s="234" t="s">
        <v>957</v>
      </c>
      <c r="D703" s="628"/>
      <c r="E703" s="628"/>
      <c r="F703" s="628"/>
      <c r="G703" s="663"/>
      <c r="H703" s="628"/>
      <c r="I703" s="628"/>
      <c r="J703" s="628"/>
      <c r="K703" s="628"/>
      <c r="L703" s="673">
        <f>Inputs!$D$113</f>
        <v>35519691.656922147</v>
      </c>
      <c r="X703" s="8"/>
      <c r="Y703" s="637"/>
    </row>
    <row r="704" spans="1:25" ht="15" customHeight="1">
      <c r="A704" s="1128" t="s">
        <v>92</v>
      </c>
      <c r="B704" s="978"/>
      <c r="C704" s="661" t="s">
        <v>975</v>
      </c>
      <c r="D704" s="628"/>
      <c r="E704" s="628"/>
      <c r="F704" s="628"/>
      <c r="G704" s="663"/>
      <c r="H704" s="628"/>
      <c r="I704" s="628"/>
      <c r="J704" s="628"/>
      <c r="K704" s="628"/>
      <c r="L704" s="673">
        <f>L702-L703</f>
        <v>49759452.73140268</v>
      </c>
      <c r="X704" s="8"/>
      <c r="Y704" s="637"/>
    </row>
    <row r="705" spans="1:25">
      <c r="A705" s="1128" t="s">
        <v>107</v>
      </c>
      <c r="B705" s="978"/>
      <c r="C705" s="661" t="s">
        <v>976</v>
      </c>
      <c r="D705" s="628"/>
      <c r="E705" s="628"/>
      <c r="F705" s="628"/>
      <c r="G705" s="663"/>
      <c r="H705" s="628"/>
      <c r="I705" s="628"/>
      <c r="J705" s="628"/>
      <c r="K705" s="628"/>
      <c r="L705" s="677">
        <f>L701/L704</f>
        <v>0</v>
      </c>
      <c r="X705" s="8"/>
      <c r="Y705" s="637"/>
    </row>
    <row r="706" spans="1:25">
      <c r="A706" s="1128" t="s">
        <v>105</v>
      </c>
      <c r="B706" s="978"/>
      <c r="C706" s="661"/>
      <c r="D706" s="628"/>
      <c r="E706" s="628"/>
      <c r="F706" s="628"/>
      <c r="G706" s="663"/>
      <c r="H706" s="628"/>
      <c r="I706" s="628"/>
      <c r="J706" s="628"/>
      <c r="K706" s="628"/>
      <c r="L706" s="677"/>
      <c r="X706" s="8"/>
      <c r="Y706" s="637"/>
    </row>
    <row r="707" spans="1:25" ht="15.6">
      <c r="A707" s="1128" t="s">
        <v>104</v>
      </c>
      <c r="B707" s="978"/>
      <c r="C707" s="666" t="s">
        <v>967</v>
      </c>
      <c r="D707" s="628"/>
      <c r="E707" s="628"/>
      <c r="F707" s="628"/>
      <c r="G707" s="663"/>
      <c r="H707" s="628"/>
      <c r="I707" s="628"/>
      <c r="J707" s="628"/>
      <c r="K707" s="628"/>
      <c r="L707" s="677"/>
      <c r="X707" s="8"/>
      <c r="Y707" s="637"/>
    </row>
    <row r="708" spans="1:25">
      <c r="A708" s="1128" t="s">
        <v>103</v>
      </c>
      <c r="B708" s="978"/>
      <c r="C708" s="661" t="s">
        <v>1622</v>
      </c>
      <c r="D708" s="628"/>
      <c r="E708" s="628"/>
      <c r="F708" s="628"/>
      <c r="G708" s="663"/>
      <c r="H708" s="628"/>
      <c r="I708" s="628"/>
      <c r="J708" s="628"/>
      <c r="K708" s="628"/>
      <c r="L708" s="673">
        <f>+AppendixA!$H$48-AppendixA!$H$62</f>
        <v>701728.60760892951</v>
      </c>
      <c r="X708" s="8"/>
      <c r="Y708" s="637"/>
    </row>
    <row r="709" spans="1:25">
      <c r="A709" s="1128" t="s">
        <v>727</v>
      </c>
      <c r="B709" s="978"/>
      <c r="C709" s="661" t="s">
        <v>1623</v>
      </c>
      <c r="D709" s="628"/>
      <c r="E709" s="628"/>
      <c r="F709" s="628"/>
      <c r="G709" s="663"/>
      <c r="H709" s="628"/>
      <c r="I709" s="628"/>
      <c r="J709" s="628"/>
      <c r="K709" s="628"/>
      <c r="L709" s="673">
        <f>+L708*L705</f>
        <v>0</v>
      </c>
      <c r="X709" s="8"/>
      <c r="Y709" s="637"/>
    </row>
    <row r="710" spans="1:25">
      <c r="A710" s="1128" t="s">
        <v>728</v>
      </c>
      <c r="B710" s="978"/>
      <c r="C710" s="880"/>
      <c r="D710" s="628"/>
      <c r="E710" s="628"/>
      <c r="F710" s="628"/>
      <c r="G710" s="663"/>
      <c r="H710" s="628"/>
      <c r="I710" s="628"/>
      <c r="J710" s="628"/>
      <c r="K710" s="628"/>
      <c r="L710" s="890"/>
      <c r="X710" s="8"/>
      <c r="Y710" s="637"/>
    </row>
    <row r="711" spans="1:25" ht="15.6">
      <c r="A711" s="1128" t="s">
        <v>745</v>
      </c>
      <c r="B711" s="1132"/>
      <c r="C711" s="666" t="s">
        <v>1644</v>
      </c>
      <c r="D711" s="628"/>
      <c r="E711" s="628"/>
      <c r="F711" s="628"/>
      <c r="G711" s="663"/>
      <c r="H711" s="628"/>
      <c r="I711" s="628"/>
      <c r="J711" s="628"/>
      <c r="K711" s="628"/>
      <c r="L711" s="664"/>
      <c r="X711" s="8"/>
      <c r="Y711" s="637"/>
    </row>
    <row r="712" spans="1:25">
      <c r="A712" s="1128" t="s">
        <v>746</v>
      </c>
      <c r="B712" s="1132"/>
      <c r="C712" s="661" t="s">
        <v>958</v>
      </c>
      <c r="D712" s="628"/>
      <c r="E712" s="628"/>
      <c r="F712" s="628"/>
      <c r="G712" s="663"/>
      <c r="H712" s="628"/>
      <c r="I712" s="628"/>
      <c r="J712" s="628"/>
      <c r="K712" s="628"/>
      <c r="L712" s="673">
        <f>AppendixA!$H$95</f>
        <v>-5612988.9467919813</v>
      </c>
      <c r="X712" s="8"/>
      <c r="Y712" s="637"/>
    </row>
    <row r="713" spans="1:25">
      <c r="A713" s="1128" t="s">
        <v>747</v>
      </c>
      <c r="B713" s="1132"/>
      <c r="C713" s="661" t="s">
        <v>1655</v>
      </c>
      <c r="D713" s="628"/>
      <c r="E713" s="628"/>
      <c r="F713" s="628"/>
      <c r="G713" s="663"/>
      <c r="H713" s="628"/>
      <c r="I713" s="628"/>
      <c r="J713" s="628"/>
      <c r="K713" s="628"/>
      <c r="L713" s="673">
        <f>L712*L705</f>
        <v>0</v>
      </c>
      <c r="X713" s="8"/>
      <c r="Y713" s="637"/>
    </row>
    <row r="714" spans="1:25">
      <c r="A714" s="1128" t="s">
        <v>748</v>
      </c>
      <c r="B714" s="978"/>
      <c r="C714" s="661" t="s">
        <v>1656</v>
      </c>
      <c r="D714" s="628"/>
      <c r="E714" s="628"/>
      <c r="F714" s="628"/>
      <c r="G714" s="663"/>
      <c r="H714" s="628"/>
      <c r="I714" s="628"/>
      <c r="J714" s="628"/>
      <c r="K714" s="628"/>
      <c r="L714" s="673">
        <f>L701+L713+L709</f>
        <v>0</v>
      </c>
      <c r="X714" s="8"/>
      <c r="Y714" s="637"/>
    </row>
    <row r="715" spans="1:25">
      <c r="A715" s="1128" t="s">
        <v>749</v>
      </c>
      <c r="B715" s="978"/>
      <c r="C715" s="661" t="s">
        <v>959</v>
      </c>
      <c r="D715" s="628"/>
      <c r="E715" s="628"/>
      <c r="F715" s="628"/>
      <c r="G715" s="663"/>
      <c r="H715" s="628"/>
      <c r="I715" s="628"/>
      <c r="J715" s="628"/>
      <c r="K715" s="628"/>
      <c r="L715" s="677">
        <f>AppendixA!$H$182</f>
        <v>7.3603939048291073E-2</v>
      </c>
      <c r="X715" s="8"/>
      <c r="Y715" s="637"/>
    </row>
    <row r="716" spans="1:25">
      <c r="A716" s="1128" t="s">
        <v>750</v>
      </c>
      <c r="B716" s="978"/>
      <c r="C716" s="661" t="s">
        <v>1657</v>
      </c>
      <c r="D716" s="628"/>
      <c r="E716" s="628"/>
      <c r="F716" s="628"/>
      <c r="G716" s="663"/>
      <c r="H716" s="628"/>
      <c r="I716" s="628"/>
      <c r="J716" s="628"/>
      <c r="K716" s="628"/>
      <c r="L716" s="673">
        <f>L714*L715</f>
        <v>0</v>
      </c>
      <c r="X716" s="8"/>
      <c r="Y716" s="637"/>
    </row>
    <row r="717" spans="1:25">
      <c r="A717" s="878"/>
      <c r="B717" s="882" t="s">
        <v>751</v>
      </c>
      <c r="C717" s="661"/>
      <c r="D717" s="628"/>
      <c r="E717" s="628"/>
      <c r="F717" s="628"/>
      <c r="G717" s="663"/>
      <c r="H717" s="628"/>
      <c r="I717" s="628"/>
      <c r="J717" s="628"/>
      <c r="K717" s="628"/>
      <c r="L717" s="673"/>
      <c r="X717" s="8"/>
      <c r="Y717" s="637"/>
    </row>
    <row r="718" spans="1:25" ht="15.6">
      <c r="A718" s="1128" t="s">
        <v>936</v>
      </c>
      <c r="B718" s="978"/>
      <c r="C718" s="666" t="s">
        <v>1645</v>
      </c>
      <c r="D718" s="628"/>
      <c r="E718" s="628"/>
      <c r="F718" s="628"/>
      <c r="G718" s="663"/>
      <c r="H718" s="628"/>
      <c r="I718" s="628"/>
      <c r="J718" s="628"/>
      <c r="K718" s="628"/>
      <c r="L718" s="673"/>
      <c r="X718" s="8"/>
      <c r="Y718" s="637"/>
    </row>
    <row r="719" spans="1:25">
      <c r="A719" s="1128">
        <v>24</v>
      </c>
      <c r="B719" s="978"/>
      <c r="C719" s="661" t="s">
        <v>1647</v>
      </c>
      <c r="D719" s="628"/>
      <c r="E719" s="628"/>
      <c r="F719" s="628"/>
      <c r="G719" s="663"/>
      <c r="H719" s="628"/>
      <c r="I719" s="628"/>
      <c r="J719" s="628"/>
      <c r="K719" s="628"/>
      <c r="L719" s="673">
        <f>+AppendixA!$H$141</f>
        <v>62220.916888344676</v>
      </c>
      <c r="X719" s="8"/>
      <c r="Y719" s="637"/>
    </row>
    <row r="720" spans="1:25">
      <c r="A720" s="1128" t="s">
        <v>937</v>
      </c>
      <c r="B720" s="978"/>
      <c r="C720" s="885"/>
      <c r="D720" s="886"/>
      <c r="E720" s="886"/>
      <c r="F720" s="886"/>
      <c r="G720" s="887"/>
      <c r="H720" s="886"/>
      <c r="I720" s="886"/>
      <c r="J720" s="886"/>
      <c r="K720" s="886"/>
      <c r="L720" s="888"/>
      <c r="X720" s="8"/>
      <c r="Y720" s="637"/>
    </row>
    <row r="721" spans="1:25">
      <c r="A721" s="1128" t="s">
        <v>938</v>
      </c>
      <c r="B721" s="978"/>
      <c r="C721" s="661" t="s">
        <v>1646</v>
      </c>
      <c r="D721" s="628"/>
      <c r="E721" s="628"/>
      <c r="F721" s="628"/>
      <c r="G721" s="663"/>
      <c r="H721" s="628"/>
      <c r="I721" s="628"/>
      <c r="J721" s="628"/>
      <c r="K721" s="628"/>
      <c r="L721" s="673">
        <f>+L719*L705</f>
        <v>0</v>
      </c>
      <c r="X721" s="8"/>
      <c r="Y721" s="637"/>
    </row>
    <row r="722" spans="1:25">
      <c r="A722" s="1128" t="s">
        <v>939</v>
      </c>
      <c r="B722" s="978"/>
      <c r="C722" s="661"/>
      <c r="D722" s="628"/>
      <c r="E722" s="628"/>
      <c r="F722" s="628"/>
      <c r="G722" s="663"/>
      <c r="H722" s="628"/>
      <c r="I722" s="628"/>
      <c r="J722" s="628"/>
      <c r="K722" s="628"/>
      <c r="L722" s="664"/>
      <c r="X722" s="8"/>
      <c r="Y722" s="637"/>
    </row>
    <row r="723" spans="1:25" ht="15.6">
      <c r="A723" s="1128" t="s">
        <v>940</v>
      </c>
      <c r="B723" s="978"/>
      <c r="C723" s="666" t="s">
        <v>960</v>
      </c>
      <c r="D723" s="628"/>
      <c r="E723" s="628"/>
      <c r="F723" s="628"/>
      <c r="G723" s="663"/>
      <c r="H723" s="628"/>
      <c r="I723" s="628"/>
      <c r="J723" s="628"/>
      <c r="K723" s="628"/>
      <c r="L723" s="664"/>
      <c r="X723" s="8"/>
      <c r="Y723" s="637"/>
    </row>
    <row r="724" spans="1:25">
      <c r="A724" s="1128" t="s">
        <v>968</v>
      </c>
      <c r="B724" s="978"/>
      <c r="C724" s="661" t="s">
        <v>961</v>
      </c>
      <c r="D724" s="628"/>
      <c r="E724" s="628"/>
      <c r="F724" s="628"/>
      <c r="G724" s="663"/>
      <c r="H724" s="628"/>
      <c r="I724" s="628"/>
      <c r="J724" s="628"/>
      <c r="K724" s="628"/>
      <c r="L724" s="673">
        <f>AppendixA!$H$130</f>
        <v>1172367.8913758555</v>
      </c>
      <c r="X724" s="8"/>
      <c r="Y724" s="637"/>
    </row>
    <row r="725" spans="1:25">
      <c r="A725" s="1128" t="s">
        <v>969</v>
      </c>
      <c r="B725" s="978"/>
      <c r="C725" s="661" t="s">
        <v>1658</v>
      </c>
      <c r="D725" s="628"/>
      <c r="E725" s="628"/>
      <c r="F725" s="628"/>
      <c r="G725" s="663"/>
      <c r="H725" s="628"/>
      <c r="I725" s="628"/>
      <c r="J725" s="628"/>
      <c r="K725" s="628"/>
      <c r="L725" s="673">
        <f>L705*L724</f>
        <v>0</v>
      </c>
      <c r="X725" s="8"/>
      <c r="Y725" s="637"/>
    </row>
    <row r="726" spans="1:25">
      <c r="A726" s="1128" t="s">
        <v>970</v>
      </c>
      <c r="B726" s="978"/>
      <c r="C726" s="661"/>
      <c r="D726" s="628"/>
      <c r="E726" s="628"/>
      <c r="F726" s="628"/>
      <c r="G726" s="663"/>
      <c r="H726" s="628"/>
      <c r="I726" s="628"/>
      <c r="J726" s="628"/>
      <c r="K726" s="628"/>
      <c r="L726" s="664"/>
      <c r="X726" s="8"/>
      <c r="Y726" s="637"/>
    </row>
    <row r="727" spans="1:25" ht="15.6">
      <c r="A727" s="1128" t="s">
        <v>971</v>
      </c>
      <c r="B727" s="978"/>
      <c r="C727" s="666" t="s">
        <v>1621</v>
      </c>
      <c r="D727" s="628"/>
      <c r="E727" s="628"/>
      <c r="F727" s="628"/>
      <c r="G727" s="663"/>
      <c r="H727" s="628"/>
      <c r="I727" s="628"/>
      <c r="J727" s="628"/>
      <c r="K727" s="628"/>
      <c r="L727" s="664"/>
      <c r="X727" s="8"/>
      <c r="Y727" s="637"/>
    </row>
    <row r="728" spans="1:25">
      <c r="A728" s="1128" t="s">
        <v>1633</v>
      </c>
      <c r="B728" s="978"/>
      <c r="C728" s="661" t="s">
        <v>1648</v>
      </c>
      <c r="D728" s="628"/>
      <c r="E728" s="628"/>
      <c r="F728" s="628"/>
      <c r="G728" s="663"/>
      <c r="H728" s="628"/>
      <c r="I728" s="628"/>
      <c r="J728" s="628"/>
      <c r="K728" s="628"/>
      <c r="L728" s="675">
        <f>+'11 - Facilities'!O595</f>
        <v>0</v>
      </c>
      <c r="X728" s="8"/>
      <c r="Y728" s="637"/>
    </row>
    <row r="729" spans="1:25">
      <c r="A729" s="1128" t="s">
        <v>1624</v>
      </c>
      <c r="B729" s="978"/>
      <c r="C729" s="661"/>
      <c r="D729" s="628"/>
      <c r="E729" s="628"/>
      <c r="F729" s="628"/>
      <c r="G729" s="663"/>
      <c r="H729" s="628"/>
      <c r="I729" s="628"/>
      <c r="J729" s="628"/>
      <c r="K729" s="628"/>
      <c r="L729" s="673"/>
      <c r="X729" s="8"/>
      <c r="Y729" s="637"/>
    </row>
    <row r="730" spans="1:25" ht="15.6">
      <c r="A730" s="1128" t="s">
        <v>1625</v>
      </c>
      <c r="B730" s="1132"/>
      <c r="C730" s="666" t="s">
        <v>962</v>
      </c>
      <c r="D730" s="628"/>
      <c r="E730" s="628"/>
      <c r="F730" s="628"/>
      <c r="G730" s="663"/>
      <c r="H730" s="628"/>
      <c r="I730" s="628"/>
      <c r="J730" s="628"/>
      <c r="K730" s="628"/>
      <c r="L730" s="673"/>
      <c r="X730" s="8"/>
      <c r="Y730" s="637"/>
    </row>
    <row r="731" spans="1:25">
      <c r="A731" s="1128" t="s">
        <v>1634</v>
      </c>
      <c r="B731" s="978"/>
      <c r="C731" s="661" t="s">
        <v>963</v>
      </c>
      <c r="D731" s="628"/>
      <c r="E731" s="628"/>
      <c r="F731" s="628"/>
      <c r="G731" s="663"/>
      <c r="H731" s="628"/>
      <c r="I731" s="628"/>
      <c r="J731" s="628"/>
      <c r="K731" s="628"/>
      <c r="L731" s="673">
        <f>AppendixA!$H$149</f>
        <v>420701.86116179236</v>
      </c>
      <c r="X731" s="8"/>
      <c r="Y731" s="637"/>
    </row>
    <row r="732" spans="1:25">
      <c r="A732" s="1128" t="s">
        <v>1635</v>
      </c>
      <c r="B732" s="978"/>
      <c r="C732" s="661" t="s">
        <v>1649</v>
      </c>
      <c r="D732" s="628"/>
      <c r="E732" s="628"/>
      <c r="F732" s="628"/>
      <c r="G732" s="663"/>
      <c r="H732" s="883"/>
      <c r="I732" s="628"/>
      <c r="J732" s="628"/>
      <c r="K732" s="628"/>
      <c r="L732" s="673">
        <f>L705*L731</f>
        <v>0</v>
      </c>
      <c r="X732" s="8"/>
      <c r="Y732" s="637"/>
    </row>
    <row r="733" spans="1:25">
      <c r="A733" s="1128" t="s">
        <v>1626</v>
      </c>
      <c r="B733" s="978"/>
      <c r="C733" s="661"/>
      <c r="D733" s="628"/>
      <c r="E733" s="628"/>
      <c r="F733" s="628"/>
      <c r="G733" s="663"/>
      <c r="H733" s="628"/>
      <c r="I733" s="628"/>
      <c r="J733" s="628"/>
      <c r="K733" s="628"/>
      <c r="L733" s="673"/>
      <c r="X733" s="8"/>
      <c r="Y733" s="637"/>
    </row>
    <row r="734" spans="1:25" ht="15.6">
      <c r="A734" s="1128" t="s">
        <v>1627</v>
      </c>
      <c r="B734" s="1132"/>
      <c r="C734" s="666" t="s">
        <v>964</v>
      </c>
      <c r="D734" s="628"/>
      <c r="E734" s="628"/>
      <c r="F734" s="628"/>
      <c r="G734" s="663"/>
      <c r="H734" s="628"/>
      <c r="I734" s="628"/>
      <c r="J734" s="628"/>
      <c r="K734" s="628"/>
      <c r="L734" s="673"/>
      <c r="X734" s="8"/>
      <c r="Y734" s="637"/>
    </row>
    <row r="735" spans="1:25">
      <c r="A735" s="1128" t="s">
        <v>1636</v>
      </c>
      <c r="B735" s="978"/>
      <c r="C735" s="661" t="s">
        <v>965</v>
      </c>
      <c r="D735" s="628"/>
      <c r="E735" s="628"/>
      <c r="F735" s="628"/>
      <c r="G735" s="663"/>
      <c r="H735" s="628"/>
      <c r="I735" s="628"/>
      <c r="J735" s="628"/>
      <c r="K735" s="628"/>
      <c r="L735" s="673">
        <f>AppendixA!$H$228</f>
        <v>524818.20552830724</v>
      </c>
      <c r="X735" s="8"/>
      <c r="Y735" s="637"/>
    </row>
    <row r="736" spans="1:25">
      <c r="A736" s="1128" t="s">
        <v>1637</v>
      </c>
      <c r="B736" s="978"/>
      <c r="C736" s="661" t="s">
        <v>1650</v>
      </c>
      <c r="D736" s="628"/>
      <c r="E736" s="628"/>
      <c r="F736" s="628"/>
      <c r="G736" s="663"/>
      <c r="H736" s="628"/>
      <c r="I736" s="628"/>
      <c r="J736" s="628"/>
      <c r="K736" s="628"/>
      <c r="L736" s="673">
        <f>L705*L735</f>
        <v>0</v>
      </c>
      <c r="X736" s="8"/>
      <c r="Y736" s="637"/>
    </row>
    <row r="737" spans="1:25">
      <c r="A737" s="1128" t="s">
        <v>1628</v>
      </c>
      <c r="B737" s="1132"/>
      <c r="C737" s="661"/>
      <c r="D737" s="628"/>
      <c r="E737" s="628"/>
      <c r="F737" s="628"/>
      <c r="G737" s="663"/>
      <c r="H737" s="628"/>
      <c r="I737" s="628"/>
      <c r="J737" s="628"/>
      <c r="K737" s="628"/>
      <c r="L737" s="673"/>
      <c r="X737" s="8"/>
      <c r="Y737" s="637"/>
    </row>
    <row r="738" spans="1:25" ht="15.6">
      <c r="A738" s="1128" t="s">
        <v>1638</v>
      </c>
      <c r="B738" s="978"/>
      <c r="C738" s="666" t="s">
        <v>1651</v>
      </c>
      <c r="D738" s="883"/>
      <c r="E738" s="883"/>
      <c r="F738" s="889"/>
      <c r="G738" s="884"/>
      <c r="H738" s="883"/>
      <c r="I738" s="883"/>
      <c r="J738" s="883"/>
      <c r="K738" s="628"/>
      <c r="L738" s="673">
        <f>L716+L725+L728+L732+L736+L721</f>
        <v>0</v>
      </c>
      <c r="X738" s="8"/>
      <c r="Y738" s="637"/>
    </row>
    <row r="739" spans="1:25" ht="15.6">
      <c r="A739" s="1128" t="s">
        <v>1629</v>
      </c>
      <c r="B739" s="1132"/>
      <c r="C739" s="666"/>
      <c r="D739" s="628"/>
      <c r="E739" s="628"/>
      <c r="F739" s="662"/>
      <c r="G739" s="663"/>
      <c r="H739" s="628"/>
      <c r="I739" s="628"/>
      <c r="J739" s="628"/>
      <c r="K739" s="628"/>
      <c r="L739" s="664"/>
      <c r="X739" s="8"/>
      <c r="Y739" s="637"/>
    </row>
    <row r="740" spans="1:25">
      <c r="A740" s="1128" t="s">
        <v>1639</v>
      </c>
      <c r="B740" s="978"/>
      <c r="C740" s="661" t="s">
        <v>928</v>
      </c>
      <c r="D740" s="628"/>
      <c r="E740" s="628"/>
      <c r="F740" s="662"/>
      <c r="G740" s="663"/>
      <c r="H740" s="628"/>
      <c r="I740" s="628"/>
      <c r="J740" s="628"/>
      <c r="K740" s="628"/>
      <c r="L740" s="682">
        <f>AppendixA!$H$212</f>
        <v>0.2658227848101265</v>
      </c>
      <c r="X740" s="8"/>
      <c r="Y740" s="637"/>
    </row>
    <row r="741" spans="1:25">
      <c r="A741" s="1128" t="s">
        <v>1640</v>
      </c>
      <c r="B741" s="978"/>
      <c r="C741" s="661" t="s">
        <v>929</v>
      </c>
      <c r="D741" s="628"/>
      <c r="E741" s="628"/>
      <c r="F741" s="662"/>
      <c r="G741" s="663"/>
      <c r="H741" s="628"/>
      <c r="I741" s="628"/>
      <c r="J741" s="628"/>
      <c r="K741" s="628"/>
      <c r="L741" s="677">
        <f>'6-WACC'!$G$16</f>
        <v>0.50515815125064667</v>
      </c>
      <c r="X741" s="8"/>
      <c r="Y741" s="637"/>
    </row>
    <row r="742" spans="1:25">
      <c r="A742" s="1128" t="s">
        <v>1641</v>
      </c>
      <c r="B742" s="978"/>
      <c r="C742" s="661" t="s">
        <v>1659</v>
      </c>
      <c r="D742" s="628"/>
      <c r="E742" s="628"/>
      <c r="F742" s="662"/>
      <c r="G742" s="663"/>
      <c r="H742" s="628"/>
      <c r="I742" s="628"/>
      <c r="J742" s="628"/>
      <c r="K742" s="628"/>
      <c r="L742" s="677">
        <f>((0.01/L740)*L741*100)</f>
        <v>1.9003568547048142</v>
      </c>
      <c r="X742" s="8"/>
      <c r="Y742" s="637"/>
    </row>
    <row r="743" spans="1:25">
      <c r="A743" s="1128" t="s">
        <v>1642</v>
      </c>
      <c r="B743" s="978"/>
      <c r="C743" s="661" t="s">
        <v>1660</v>
      </c>
      <c r="D743" s="628"/>
      <c r="E743" s="628"/>
      <c r="F743" s="662"/>
      <c r="G743" s="663"/>
      <c r="H743" s="628"/>
      <c r="I743" s="628"/>
      <c r="J743" s="628"/>
      <c r="K743" s="628"/>
      <c r="L743" s="673">
        <f>L699*L714</f>
        <v>0</v>
      </c>
      <c r="X743" s="8"/>
      <c r="Y743" s="637"/>
    </row>
    <row r="744" spans="1:25" ht="15.6">
      <c r="A744" s="1128" t="s">
        <v>1630</v>
      </c>
      <c r="B744" s="1132"/>
      <c r="C744" s="666"/>
      <c r="D744" s="628"/>
      <c r="E744" s="628"/>
      <c r="F744" s="662"/>
      <c r="G744" s="663"/>
      <c r="H744" s="628"/>
      <c r="I744" s="628"/>
      <c r="J744" s="628"/>
      <c r="K744" s="628"/>
      <c r="L744" s="673"/>
      <c r="X744" s="8"/>
      <c r="Y744" s="637"/>
    </row>
    <row r="745" spans="1:25" ht="15.6">
      <c r="A745" s="1128" t="s">
        <v>1643</v>
      </c>
      <c r="B745" s="978"/>
      <c r="C745" s="666" t="s">
        <v>1661</v>
      </c>
      <c r="D745" s="628"/>
      <c r="E745" s="628"/>
      <c r="F745" s="662"/>
      <c r="G745" s="663"/>
      <c r="H745" s="628"/>
      <c r="I745" s="628"/>
      <c r="J745" s="628"/>
      <c r="K745" s="628"/>
      <c r="L745" s="673">
        <f>L738+L743</f>
        <v>0</v>
      </c>
      <c r="X745" s="8"/>
      <c r="Y745" s="637"/>
    </row>
    <row r="746" spans="1:25" ht="15.6" thickBot="1">
      <c r="A746" s="1128"/>
      <c r="B746" s="1132"/>
      <c r="C746" s="667"/>
      <c r="D746" s="668"/>
      <c r="E746" s="668"/>
      <c r="F746" s="669"/>
      <c r="G746" s="670"/>
      <c r="H746" s="668"/>
      <c r="I746" s="668"/>
      <c r="J746" s="668"/>
      <c r="K746" s="668"/>
      <c r="L746" s="678"/>
      <c r="X746" s="8"/>
      <c r="Y746" s="637"/>
    </row>
    <row r="747" spans="1:25">
      <c r="A747" s="672"/>
      <c r="B747" s="672"/>
      <c r="C747" s="642"/>
      <c r="D747" s="628"/>
      <c r="E747" s="641"/>
      <c r="F747" s="628"/>
      <c r="G747" s="641"/>
      <c r="H747" s="628"/>
      <c r="I747" s="638"/>
      <c r="J747" s="638"/>
      <c r="K747" s="639"/>
      <c r="L747" s="638"/>
      <c r="W747" s="222"/>
      <c r="X747" s="222"/>
      <c r="Y747" s="222"/>
    </row>
    <row r="748" spans="1:25">
      <c r="A748" s="8" t="s">
        <v>941</v>
      </c>
      <c r="B748" s="8"/>
      <c r="C748" s="8"/>
      <c r="D748" s="8"/>
      <c r="E748" s="8"/>
      <c r="F748" s="8"/>
      <c r="G748" s="8"/>
      <c r="H748" s="8"/>
      <c r="I748" s="8"/>
      <c r="J748" s="8"/>
      <c r="K748" s="8"/>
      <c r="L748" s="8"/>
      <c r="M748" s="8"/>
      <c r="N748" s="640"/>
      <c r="O748" s="10"/>
      <c r="P748" s="222"/>
      <c r="Q748" s="222"/>
      <c r="R748" s="222"/>
      <c r="S748" s="222"/>
      <c r="T748" s="222"/>
      <c r="U748" s="10"/>
      <c r="V748" s="222"/>
      <c r="W748" s="222"/>
      <c r="X748" s="222"/>
      <c r="Y748" s="222"/>
    </row>
    <row r="749" spans="1:25">
      <c r="B749" s="10" t="s">
        <v>441</v>
      </c>
      <c r="C749" s="628"/>
      <c r="D749" s="628"/>
      <c r="E749" s="628"/>
      <c r="F749" s="628"/>
      <c r="G749" s="628"/>
      <c r="H749" s="628"/>
      <c r="I749" s="628"/>
      <c r="J749" s="628"/>
      <c r="K749" s="628"/>
      <c r="L749" s="628"/>
      <c r="M749" s="628"/>
      <c r="N749" s="640"/>
      <c r="O749" s="10"/>
      <c r="P749" s="222"/>
      <c r="Q749" s="222"/>
      <c r="R749" s="222"/>
      <c r="S749" s="222"/>
      <c r="T749" s="222"/>
      <c r="U749" s="10"/>
      <c r="V749" s="222"/>
      <c r="W749" s="222"/>
      <c r="X749" s="222"/>
      <c r="Y749" s="222"/>
    </row>
    <row r="750" spans="1:25">
      <c r="C750" s="628"/>
      <c r="D750" s="628"/>
      <c r="E750" s="628"/>
      <c r="F750" s="628"/>
      <c r="G750" s="10"/>
      <c r="H750" s="628"/>
      <c r="I750" s="628"/>
      <c r="J750" s="10" t="s">
        <v>917</v>
      </c>
      <c r="K750" s="628"/>
      <c r="L750" s="628"/>
      <c r="M750" s="628"/>
    </row>
    <row r="751" spans="1:25">
      <c r="C751" s="628"/>
      <c r="D751" s="628"/>
      <c r="E751" s="628"/>
      <c r="F751" s="628"/>
      <c r="G751" s="10"/>
      <c r="H751" s="628"/>
      <c r="I751" s="628"/>
      <c r="J751" s="647" t="s">
        <v>950</v>
      </c>
      <c r="K751" s="628"/>
      <c r="L751" s="628"/>
      <c r="M751" s="628"/>
    </row>
    <row r="752" spans="1:25" ht="15.6">
      <c r="B752" s="975" t="s">
        <v>983</v>
      </c>
      <c r="C752" s="975"/>
      <c r="D752" s="975"/>
      <c r="E752" s="975"/>
      <c r="F752" s="975"/>
      <c r="G752" s="975"/>
      <c r="H752" s="975"/>
      <c r="I752" s="975"/>
      <c r="J752" s="975"/>
      <c r="K752" s="975"/>
      <c r="L752" s="975"/>
      <c r="M752" s="975"/>
      <c r="N752" s="975"/>
      <c r="O752" s="975"/>
    </row>
    <row r="753" spans="1:15">
      <c r="B753" s="976" t="str">
        <f>$B$2</f>
        <v>(For Rate Year Beginning April 1, 2026, Based on December 31, 2025 Data)</v>
      </c>
      <c r="C753" s="976"/>
      <c r="D753" s="976"/>
      <c r="E753" s="976"/>
      <c r="F753" s="976"/>
      <c r="G753" s="976"/>
      <c r="H753" s="976"/>
      <c r="I753" s="976"/>
      <c r="J753" s="976"/>
      <c r="K753" s="976"/>
      <c r="L753" s="976"/>
      <c r="M753" s="976"/>
      <c r="N753" s="976"/>
      <c r="O753" s="976"/>
    </row>
    <row r="755" spans="1:15" ht="15.6">
      <c r="A755" s="1157" t="s">
        <v>986</v>
      </c>
      <c r="B755" s="1158"/>
      <c r="C755" s="1158"/>
      <c r="D755" s="1158"/>
      <c r="E755" s="1158"/>
      <c r="F755" s="1158"/>
    </row>
    <row r="757" spans="1:15">
      <c r="B757" s="6" t="s">
        <v>926</v>
      </c>
    </row>
    <row r="758" spans="1:15">
      <c r="B758" s="6" t="s">
        <v>927</v>
      </c>
    </row>
    <row r="759" spans="1:15">
      <c r="B759" s="6" t="s">
        <v>972</v>
      </c>
    </row>
    <row r="760" spans="1:15">
      <c r="B760" s="6" t="s">
        <v>954</v>
      </c>
    </row>
    <row r="762" spans="1:15">
      <c r="A762" s="1130" t="s">
        <v>244</v>
      </c>
      <c r="B762" s="978"/>
    </row>
    <row r="763" spans="1:15" ht="6" customHeight="1" thickBot="1">
      <c r="A763" s="1131"/>
      <c r="B763" s="1131"/>
    </row>
    <row r="764" spans="1:15" ht="15.6" thickBot="1">
      <c r="A764" s="1128" t="s">
        <v>521</v>
      </c>
      <c r="B764" s="1129"/>
      <c r="C764" s="1149" t="s">
        <v>930</v>
      </c>
      <c r="D764" s="1150"/>
      <c r="E764" s="1151"/>
      <c r="F764" s="1151"/>
      <c r="G764" s="1151"/>
      <c r="H764" s="1151"/>
      <c r="I764" s="1151"/>
      <c r="J764" s="1151"/>
      <c r="K764" s="1151"/>
      <c r="L764" s="1152"/>
      <c r="M764" s="628"/>
      <c r="O764" s="633"/>
    </row>
    <row r="765" spans="1:15" ht="15.6" thickBot="1">
      <c r="A765" s="1131"/>
      <c r="B765" s="1162"/>
      <c r="C765" s="634"/>
      <c r="D765" s="628"/>
      <c r="E765" s="628"/>
      <c r="F765" s="1153" t="s">
        <v>177</v>
      </c>
      <c r="G765" s="1154"/>
      <c r="H765" s="628"/>
      <c r="I765" s="628"/>
      <c r="J765" s="628"/>
      <c r="K765" s="628"/>
      <c r="L765" s="635" t="s">
        <v>178</v>
      </c>
      <c r="M765" s="642"/>
      <c r="O765" s="633"/>
    </row>
    <row r="766" spans="1:15">
      <c r="A766" s="1128" t="s">
        <v>518</v>
      </c>
      <c r="B766" s="1129"/>
      <c r="C766" s="1155" t="s">
        <v>931</v>
      </c>
      <c r="D766" s="1156"/>
      <c r="E766" s="1156"/>
      <c r="F766" s="1159"/>
      <c r="G766" s="1160"/>
      <c r="H766" s="1161"/>
      <c r="I766" s="1156"/>
      <c r="J766" s="1156"/>
      <c r="K766" s="1156"/>
      <c r="L766" s="636"/>
      <c r="M766" s="721"/>
    </row>
    <row r="767" spans="1:15">
      <c r="A767" s="1128" t="s">
        <v>515</v>
      </c>
      <c r="B767" s="1129"/>
      <c r="C767" s="1145" t="s">
        <v>932</v>
      </c>
      <c r="D767" s="1146"/>
      <c r="E767" s="1146"/>
      <c r="F767" s="1133"/>
      <c r="G767" s="1134"/>
      <c r="H767" s="1148" t="s">
        <v>933</v>
      </c>
      <c r="I767" s="1146"/>
      <c r="J767" s="1146"/>
      <c r="K767" s="1146"/>
      <c r="L767" s="671">
        <v>0</v>
      </c>
      <c r="M767" s="724"/>
    </row>
    <row r="768" spans="1:15">
      <c r="A768" s="1128" t="s">
        <v>512</v>
      </c>
      <c r="B768" s="1129"/>
      <c r="C768" s="1145" t="s">
        <v>934</v>
      </c>
      <c r="D768" s="1146"/>
      <c r="E768" s="1146"/>
      <c r="F768" s="1147"/>
      <c r="G768" s="1134"/>
      <c r="H768" s="1148" t="s">
        <v>1632</v>
      </c>
      <c r="I768" s="1146"/>
      <c r="J768" s="1146"/>
      <c r="K768" s="1146"/>
      <c r="L768" s="674">
        <f>L767*L807</f>
        <v>0</v>
      </c>
      <c r="M768" s="722"/>
    </row>
    <row r="769" spans="1:25" ht="15.6" thickBot="1">
      <c r="A769" s="1128" t="s">
        <v>510</v>
      </c>
      <c r="B769" s="978"/>
      <c r="C769" s="1145" t="s">
        <v>935</v>
      </c>
      <c r="D769" s="1146"/>
      <c r="E769" s="1146"/>
      <c r="F769" s="1133"/>
      <c r="G769" s="1134"/>
      <c r="H769" s="1148"/>
      <c r="I769" s="1146"/>
      <c r="J769" s="1146"/>
      <c r="K769" s="1146"/>
      <c r="L769" s="664"/>
      <c r="M769" s="723"/>
    </row>
    <row r="770" spans="1:25" ht="15" customHeight="1">
      <c r="A770" s="1128" t="s">
        <v>96</v>
      </c>
      <c r="B770" s="978"/>
      <c r="C770" s="246" t="s">
        <v>1620</v>
      </c>
      <c r="D770" s="665"/>
      <c r="E770" s="665"/>
      <c r="F770" s="665"/>
      <c r="G770" s="665"/>
      <c r="H770" s="665"/>
      <c r="I770" s="665"/>
      <c r="J770" s="665"/>
      <c r="K770" s="665"/>
      <c r="L770" s="676">
        <f>+'11 - Facilities'!N664</f>
        <v>0</v>
      </c>
      <c r="X770" s="8"/>
      <c r="Y770" s="637"/>
    </row>
    <row r="771" spans="1:25">
      <c r="A771" s="1128" t="s">
        <v>95</v>
      </c>
      <c r="B771" s="978"/>
      <c r="C771" s="234" t="s">
        <v>956</v>
      </c>
      <c r="D771" s="628"/>
      <c r="E771" s="628"/>
      <c r="F771" s="628"/>
      <c r="G771" s="663"/>
      <c r="H771" s="628"/>
      <c r="I771" s="628"/>
      <c r="J771" s="628"/>
      <c r="K771" s="628"/>
      <c r="L771" s="673">
        <f>Inputs!$D$112</f>
        <v>85279144.388324827</v>
      </c>
      <c r="X771" s="8"/>
      <c r="Y771" s="637"/>
    </row>
    <row r="772" spans="1:25">
      <c r="A772" s="1128" t="s">
        <v>93</v>
      </c>
      <c r="B772" s="978"/>
      <c r="C772" s="234" t="s">
        <v>957</v>
      </c>
      <c r="D772" s="628"/>
      <c r="E772" s="628"/>
      <c r="F772" s="628"/>
      <c r="G772" s="663"/>
      <c r="H772" s="628"/>
      <c r="I772" s="628"/>
      <c r="J772" s="628"/>
      <c r="K772" s="628"/>
      <c r="L772" s="673">
        <f>Inputs!$D$113</f>
        <v>35519691.656922147</v>
      </c>
      <c r="X772" s="8"/>
      <c r="Y772" s="637"/>
    </row>
    <row r="773" spans="1:25" ht="15" customHeight="1">
      <c r="A773" s="1128" t="s">
        <v>92</v>
      </c>
      <c r="B773" s="978"/>
      <c r="C773" s="661" t="s">
        <v>975</v>
      </c>
      <c r="D773" s="628"/>
      <c r="E773" s="628"/>
      <c r="F773" s="628"/>
      <c r="G773" s="663"/>
      <c r="H773" s="628"/>
      <c r="I773" s="628"/>
      <c r="J773" s="628"/>
      <c r="K773" s="628"/>
      <c r="L773" s="673">
        <f>L771-L772</f>
        <v>49759452.73140268</v>
      </c>
      <c r="X773" s="8"/>
      <c r="Y773" s="637"/>
    </row>
    <row r="774" spans="1:25">
      <c r="A774" s="1128" t="s">
        <v>107</v>
      </c>
      <c r="B774" s="978"/>
      <c r="C774" s="661" t="s">
        <v>976</v>
      </c>
      <c r="D774" s="628"/>
      <c r="E774" s="628"/>
      <c r="F774" s="628"/>
      <c r="G774" s="663"/>
      <c r="H774" s="628"/>
      <c r="I774" s="628"/>
      <c r="J774" s="628"/>
      <c r="K774" s="628"/>
      <c r="L774" s="677">
        <f>L770/L773</f>
        <v>0</v>
      </c>
      <c r="X774" s="8"/>
      <c r="Y774" s="637"/>
    </row>
    <row r="775" spans="1:25">
      <c r="A775" s="1128" t="s">
        <v>105</v>
      </c>
      <c r="B775" s="978"/>
      <c r="C775" s="661"/>
      <c r="D775" s="628"/>
      <c r="E775" s="628"/>
      <c r="F775" s="628"/>
      <c r="G775" s="663"/>
      <c r="H775" s="628"/>
      <c r="I775" s="628"/>
      <c r="J775" s="628"/>
      <c r="K775" s="628"/>
      <c r="L775" s="677"/>
      <c r="X775" s="8"/>
      <c r="Y775" s="637"/>
    </row>
    <row r="776" spans="1:25" ht="15.6">
      <c r="A776" s="1128" t="s">
        <v>104</v>
      </c>
      <c r="B776" s="978"/>
      <c r="C776" s="666" t="s">
        <v>967</v>
      </c>
      <c r="D776" s="628"/>
      <c r="E776" s="628"/>
      <c r="F776" s="628"/>
      <c r="G776" s="663"/>
      <c r="H776" s="628"/>
      <c r="I776" s="628"/>
      <c r="J776" s="628"/>
      <c r="K776" s="628"/>
      <c r="L776" s="677"/>
      <c r="X776" s="8"/>
      <c r="Y776" s="637"/>
    </row>
    <row r="777" spans="1:25">
      <c r="A777" s="1128" t="s">
        <v>103</v>
      </c>
      <c r="B777" s="978"/>
      <c r="C777" s="661" t="s">
        <v>1622</v>
      </c>
      <c r="D777" s="628"/>
      <c r="E777" s="628"/>
      <c r="F777" s="628"/>
      <c r="G777" s="663"/>
      <c r="H777" s="628"/>
      <c r="I777" s="628"/>
      <c r="J777" s="628"/>
      <c r="K777" s="628"/>
      <c r="L777" s="673">
        <f>+AppendixA!$H$48-AppendixA!$H$62</f>
        <v>701728.60760892951</v>
      </c>
      <c r="X777" s="8"/>
      <c r="Y777" s="637"/>
    </row>
    <row r="778" spans="1:25">
      <c r="A778" s="1128" t="s">
        <v>727</v>
      </c>
      <c r="B778" s="978"/>
      <c r="C778" s="661" t="s">
        <v>1623</v>
      </c>
      <c r="D778" s="628"/>
      <c r="E778" s="628"/>
      <c r="F778" s="628"/>
      <c r="G778" s="663"/>
      <c r="H778" s="628"/>
      <c r="I778" s="628"/>
      <c r="J778" s="628"/>
      <c r="K778" s="628"/>
      <c r="L778" s="673">
        <f>+L777*L774</f>
        <v>0</v>
      </c>
      <c r="X778" s="8"/>
      <c r="Y778" s="637"/>
    </row>
    <row r="779" spans="1:25">
      <c r="A779" s="1128" t="s">
        <v>728</v>
      </c>
      <c r="B779" s="978"/>
      <c r="C779" s="880"/>
      <c r="D779" s="628"/>
      <c r="E779" s="628"/>
      <c r="F779" s="628"/>
      <c r="G779" s="663"/>
      <c r="H779" s="628"/>
      <c r="I779" s="628"/>
      <c r="J779" s="628"/>
      <c r="K779" s="628"/>
      <c r="L779" s="890"/>
      <c r="X779" s="8"/>
      <c r="Y779" s="637"/>
    </row>
    <row r="780" spans="1:25" ht="15.6">
      <c r="A780" s="1128" t="s">
        <v>745</v>
      </c>
      <c r="B780" s="1132"/>
      <c r="C780" s="666" t="s">
        <v>1644</v>
      </c>
      <c r="D780" s="628"/>
      <c r="E780" s="628"/>
      <c r="F780" s="628"/>
      <c r="G780" s="663"/>
      <c r="H780" s="628"/>
      <c r="I780" s="628"/>
      <c r="J780" s="628"/>
      <c r="K780" s="628"/>
      <c r="L780" s="664"/>
      <c r="X780" s="8"/>
      <c r="Y780" s="637"/>
    </row>
    <row r="781" spans="1:25">
      <c r="A781" s="1128" t="s">
        <v>746</v>
      </c>
      <c r="B781" s="1132"/>
      <c r="C781" s="661" t="s">
        <v>958</v>
      </c>
      <c r="D781" s="628"/>
      <c r="E781" s="628"/>
      <c r="F781" s="628"/>
      <c r="G781" s="663"/>
      <c r="H781" s="628"/>
      <c r="I781" s="628"/>
      <c r="J781" s="628"/>
      <c r="K781" s="628"/>
      <c r="L781" s="673">
        <f>AppendixA!$H$95</f>
        <v>-5612988.9467919813</v>
      </c>
      <c r="X781" s="8"/>
      <c r="Y781" s="637"/>
    </row>
    <row r="782" spans="1:25">
      <c r="A782" s="1128" t="s">
        <v>747</v>
      </c>
      <c r="B782" s="1132"/>
      <c r="C782" s="661" t="s">
        <v>1655</v>
      </c>
      <c r="D782" s="628"/>
      <c r="E782" s="628"/>
      <c r="F782" s="628"/>
      <c r="G782" s="663"/>
      <c r="H782" s="628"/>
      <c r="I782" s="628"/>
      <c r="J782" s="628"/>
      <c r="K782" s="628"/>
      <c r="L782" s="673">
        <f>L781*L774</f>
        <v>0</v>
      </c>
      <c r="X782" s="8"/>
      <c r="Y782" s="637"/>
    </row>
    <row r="783" spans="1:25">
      <c r="A783" s="1128" t="s">
        <v>748</v>
      </c>
      <c r="B783" s="978"/>
      <c r="C783" s="661" t="s">
        <v>1656</v>
      </c>
      <c r="D783" s="628"/>
      <c r="E783" s="628"/>
      <c r="F783" s="628"/>
      <c r="G783" s="663"/>
      <c r="H783" s="628"/>
      <c r="I783" s="628"/>
      <c r="J783" s="628"/>
      <c r="K783" s="628"/>
      <c r="L783" s="673">
        <f>L770+L782+L778</f>
        <v>0</v>
      </c>
      <c r="X783" s="8"/>
      <c r="Y783" s="637"/>
    </row>
    <row r="784" spans="1:25">
      <c r="A784" s="1128" t="s">
        <v>749</v>
      </c>
      <c r="B784" s="978"/>
      <c r="C784" s="661" t="s">
        <v>959</v>
      </c>
      <c r="D784" s="628"/>
      <c r="E784" s="628"/>
      <c r="F784" s="628"/>
      <c r="G784" s="663"/>
      <c r="H784" s="628"/>
      <c r="I784" s="628"/>
      <c r="J784" s="628"/>
      <c r="K784" s="628"/>
      <c r="L784" s="677">
        <f>AppendixA!$H$182</f>
        <v>7.3603939048291073E-2</v>
      </c>
      <c r="X784" s="8"/>
      <c r="Y784" s="637"/>
    </row>
    <row r="785" spans="1:25">
      <c r="A785" s="1128" t="s">
        <v>750</v>
      </c>
      <c r="B785" s="978"/>
      <c r="C785" s="661" t="s">
        <v>1657</v>
      </c>
      <c r="D785" s="628"/>
      <c r="E785" s="628"/>
      <c r="F785" s="628"/>
      <c r="G785" s="663"/>
      <c r="H785" s="628"/>
      <c r="I785" s="628"/>
      <c r="J785" s="628"/>
      <c r="K785" s="628"/>
      <c r="L785" s="673">
        <f>L783*L784</f>
        <v>0</v>
      </c>
      <c r="X785" s="8"/>
      <c r="Y785" s="637"/>
    </row>
    <row r="786" spans="1:25">
      <c r="A786" s="878"/>
      <c r="B786" s="882" t="s">
        <v>751</v>
      </c>
      <c r="C786" s="661"/>
      <c r="D786" s="628"/>
      <c r="E786" s="628"/>
      <c r="F786" s="628"/>
      <c r="G786" s="663"/>
      <c r="H786" s="628"/>
      <c r="I786" s="628"/>
      <c r="J786" s="628"/>
      <c r="K786" s="628"/>
      <c r="L786" s="673"/>
      <c r="X786" s="8"/>
      <c r="Y786" s="637"/>
    </row>
    <row r="787" spans="1:25" ht="15.6">
      <c r="A787" s="1128" t="s">
        <v>936</v>
      </c>
      <c r="B787" s="978"/>
      <c r="C787" s="666" t="s">
        <v>1645</v>
      </c>
      <c r="D787" s="628"/>
      <c r="E787" s="628"/>
      <c r="F787" s="628"/>
      <c r="G787" s="663"/>
      <c r="H787" s="628"/>
      <c r="I787" s="628"/>
      <c r="J787" s="628"/>
      <c r="K787" s="628"/>
      <c r="L787" s="673"/>
      <c r="X787" s="8"/>
      <c r="Y787" s="637"/>
    </row>
    <row r="788" spans="1:25">
      <c r="A788" s="1128">
        <v>24</v>
      </c>
      <c r="B788" s="978"/>
      <c r="C788" s="661" t="s">
        <v>1647</v>
      </c>
      <c r="D788" s="628"/>
      <c r="E788" s="628"/>
      <c r="F788" s="628"/>
      <c r="G788" s="663"/>
      <c r="H788" s="628"/>
      <c r="I788" s="628"/>
      <c r="J788" s="628"/>
      <c r="K788" s="628"/>
      <c r="L788" s="673">
        <f>+AppendixA!$H$141</f>
        <v>62220.916888344676</v>
      </c>
      <c r="X788" s="8"/>
      <c r="Y788" s="637"/>
    </row>
    <row r="789" spans="1:25">
      <c r="A789" s="1128" t="s">
        <v>937</v>
      </c>
      <c r="B789" s="978"/>
      <c r="C789" s="885"/>
      <c r="D789" s="886"/>
      <c r="E789" s="886"/>
      <c r="F789" s="886"/>
      <c r="G789" s="887"/>
      <c r="H789" s="886"/>
      <c r="I789" s="886"/>
      <c r="J789" s="886"/>
      <c r="K789" s="886"/>
      <c r="L789" s="888"/>
      <c r="X789" s="8"/>
      <c r="Y789" s="637"/>
    </row>
    <row r="790" spans="1:25">
      <c r="A790" s="1128" t="s">
        <v>938</v>
      </c>
      <c r="B790" s="978"/>
      <c r="C790" s="661" t="s">
        <v>1646</v>
      </c>
      <c r="D790" s="628"/>
      <c r="E790" s="628"/>
      <c r="F790" s="628"/>
      <c r="G790" s="663"/>
      <c r="H790" s="628"/>
      <c r="I790" s="628"/>
      <c r="J790" s="628"/>
      <c r="K790" s="628"/>
      <c r="L790" s="673">
        <f>+L788*L774</f>
        <v>0</v>
      </c>
      <c r="X790" s="8"/>
      <c r="Y790" s="637"/>
    </row>
    <row r="791" spans="1:25">
      <c r="A791" s="1128" t="s">
        <v>939</v>
      </c>
      <c r="B791" s="978"/>
      <c r="C791" s="661"/>
      <c r="D791" s="628"/>
      <c r="E791" s="628"/>
      <c r="F791" s="628"/>
      <c r="G791" s="663"/>
      <c r="H791" s="628"/>
      <c r="I791" s="628"/>
      <c r="J791" s="628"/>
      <c r="K791" s="628"/>
      <c r="L791" s="664"/>
      <c r="X791" s="8"/>
      <c r="Y791" s="637"/>
    </row>
    <row r="792" spans="1:25" ht="15.6">
      <c r="A792" s="1128" t="s">
        <v>940</v>
      </c>
      <c r="B792" s="978"/>
      <c r="C792" s="666" t="s">
        <v>960</v>
      </c>
      <c r="D792" s="628"/>
      <c r="E792" s="628"/>
      <c r="F792" s="628"/>
      <c r="G792" s="663"/>
      <c r="H792" s="628"/>
      <c r="I792" s="628"/>
      <c r="J792" s="628"/>
      <c r="K792" s="628"/>
      <c r="L792" s="664"/>
      <c r="X792" s="8"/>
      <c r="Y792" s="637"/>
    </row>
    <row r="793" spans="1:25">
      <c r="A793" s="1128" t="s">
        <v>968</v>
      </c>
      <c r="B793" s="978"/>
      <c r="C793" s="661" t="s">
        <v>961</v>
      </c>
      <c r="D793" s="628"/>
      <c r="E793" s="628"/>
      <c r="F793" s="628"/>
      <c r="G793" s="663"/>
      <c r="H793" s="628"/>
      <c r="I793" s="628"/>
      <c r="J793" s="628"/>
      <c r="K793" s="628"/>
      <c r="L793" s="673">
        <f>AppendixA!$H$130</f>
        <v>1172367.8913758555</v>
      </c>
      <c r="X793" s="8"/>
      <c r="Y793" s="637"/>
    </row>
    <row r="794" spans="1:25">
      <c r="A794" s="1128" t="s">
        <v>969</v>
      </c>
      <c r="B794" s="978"/>
      <c r="C794" s="661" t="s">
        <v>1658</v>
      </c>
      <c r="D794" s="628"/>
      <c r="E794" s="628"/>
      <c r="F794" s="628"/>
      <c r="G794" s="663"/>
      <c r="H794" s="628"/>
      <c r="I794" s="628"/>
      <c r="J794" s="628"/>
      <c r="K794" s="628"/>
      <c r="L794" s="673">
        <f>L774*L793</f>
        <v>0</v>
      </c>
      <c r="X794" s="8"/>
      <c r="Y794" s="637"/>
    </row>
    <row r="795" spans="1:25">
      <c r="A795" s="1128" t="s">
        <v>970</v>
      </c>
      <c r="B795" s="978"/>
      <c r="C795" s="661"/>
      <c r="D795" s="628"/>
      <c r="E795" s="628"/>
      <c r="F795" s="628"/>
      <c r="G795" s="663"/>
      <c r="H795" s="628"/>
      <c r="I795" s="628"/>
      <c r="J795" s="628"/>
      <c r="K795" s="628"/>
      <c r="L795" s="664"/>
      <c r="X795" s="8"/>
      <c r="Y795" s="637"/>
    </row>
    <row r="796" spans="1:25" ht="15.6">
      <c r="A796" s="1128" t="s">
        <v>971</v>
      </c>
      <c r="B796" s="978"/>
      <c r="C796" s="666" t="s">
        <v>1621</v>
      </c>
      <c r="D796" s="628"/>
      <c r="E796" s="628"/>
      <c r="F796" s="628"/>
      <c r="G796" s="663"/>
      <c r="H796" s="628"/>
      <c r="I796" s="628"/>
      <c r="J796" s="628"/>
      <c r="K796" s="628"/>
      <c r="L796" s="664"/>
      <c r="X796" s="8"/>
      <c r="Y796" s="637"/>
    </row>
    <row r="797" spans="1:25">
      <c r="A797" s="1128" t="s">
        <v>1633</v>
      </c>
      <c r="B797" s="978"/>
      <c r="C797" s="661" t="s">
        <v>1648</v>
      </c>
      <c r="D797" s="628"/>
      <c r="E797" s="628"/>
      <c r="F797" s="628"/>
      <c r="G797" s="663"/>
      <c r="H797" s="628"/>
      <c r="I797" s="628"/>
      <c r="J797" s="628"/>
      <c r="K797" s="628"/>
      <c r="L797" s="675">
        <f>+'11 - Facilities'!O664</f>
        <v>0</v>
      </c>
      <c r="X797" s="8"/>
      <c r="Y797" s="637"/>
    </row>
    <row r="798" spans="1:25">
      <c r="A798" s="1128" t="s">
        <v>1624</v>
      </c>
      <c r="B798" s="978"/>
      <c r="C798" s="661"/>
      <c r="D798" s="628"/>
      <c r="E798" s="628"/>
      <c r="F798" s="628"/>
      <c r="G798" s="663"/>
      <c r="H798" s="628"/>
      <c r="I798" s="628"/>
      <c r="J798" s="628"/>
      <c r="K798" s="628"/>
      <c r="L798" s="673"/>
      <c r="X798" s="8"/>
      <c r="Y798" s="637"/>
    </row>
    <row r="799" spans="1:25" ht="15.6">
      <c r="A799" s="1128" t="s">
        <v>1625</v>
      </c>
      <c r="B799" s="1132"/>
      <c r="C799" s="666" t="s">
        <v>962</v>
      </c>
      <c r="D799" s="628"/>
      <c r="E799" s="628"/>
      <c r="F799" s="628"/>
      <c r="G799" s="663"/>
      <c r="H799" s="628"/>
      <c r="I799" s="628"/>
      <c r="J799" s="628"/>
      <c r="K799" s="628"/>
      <c r="L799" s="673"/>
      <c r="X799" s="8"/>
      <c r="Y799" s="637"/>
    </row>
    <row r="800" spans="1:25">
      <c r="A800" s="1128" t="s">
        <v>1634</v>
      </c>
      <c r="B800" s="978"/>
      <c r="C800" s="661" t="s">
        <v>963</v>
      </c>
      <c r="D800" s="628"/>
      <c r="E800" s="628"/>
      <c r="F800" s="628"/>
      <c r="G800" s="663"/>
      <c r="H800" s="628"/>
      <c r="I800" s="628"/>
      <c r="J800" s="628"/>
      <c r="K800" s="628"/>
      <c r="L800" s="673">
        <f>AppendixA!$H$149</f>
        <v>420701.86116179236</v>
      </c>
      <c r="X800" s="8"/>
      <c r="Y800" s="637"/>
    </row>
    <row r="801" spans="1:25">
      <c r="A801" s="1128" t="s">
        <v>1635</v>
      </c>
      <c r="B801" s="978"/>
      <c r="C801" s="661" t="s">
        <v>1649</v>
      </c>
      <c r="D801" s="628"/>
      <c r="E801" s="628"/>
      <c r="F801" s="628"/>
      <c r="G801" s="663"/>
      <c r="H801" s="883"/>
      <c r="I801" s="628"/>
      <c r="J801" s="628"/>
      <c r="K801" s="628"/>
      <c r="L801" s="673">
        <f>L774*L800</f>
        <v>0</v>
      </c>
      <c r="X801" s="8"/>
      <c r="Y801" s="637"/>
    </row>
    <row r="802" spans="1:25">
      <c r="A802" s="1128" t="s">
        <v>1626</v>
      </c>
      <c r="B802" s="978"/>
      <c r="C802" s="661"/>
      <c r="D802" s="628"/>
      <c r="E802" s="628"/>
      <c r="F802" s="628"/>
      <c r="G802" s="663"/>
      <c r="H802" s="628"/>
      <c r="I802" s="628"/>
      <c r="J802" s="628"/>
      <c r="K802" s="628"/>
      <c r="L802" s="673"/>
      <c r="X802" s="8"/>
      <c r="Y802" s="637"/>
    </row>
    <row r="803" spans="1:25" ht="15.6">
      <c r="A803" s="1128" t="s">
        <v>1627</v>
      </c>
      <c r="B803" s="1132"/>
      <c r="C803" s="666" t="s">
        <v>964</v>
      </c>
      <c r="D803" s="628"/>
      <c r="E803" s="628"/>
      <c r="F803" s="628"/>
      <c r="G803" s="663"/>
      <c r="H803" s="628"/>
      <c r="I803" s="628"/>
      <c r="J803" s="628"/>
      <c r="K803" s="628"/>
      <c r="L803" s="673"/>
      <c r="X803" s="8"/>
      <c r="Y803" s="637"/>
    </row>
    <row r="804" spans="1:25">
      <c r="A804" s="1128" t="s">
        <v>1636</v>
      </c>
      <c r="B804" s="978"/>
      <c r="C804" s="661" t="s">
        <v>965</v>
      </c>
      <c r="D804" s="628"/>
      <c r="E804" s="628"/>
      <c r="F804" s="628"/>
      <c r="G804" s="663"/>
      <c r="H804" s="628"/>
      <c r="I804" s="628"/>
      <c r="J804" s="628"/>
      <c r="K804" s="628"/>
      <c r="L804" s="673">
        <f>AppendixA!$H$228</f>
        <v>524818.20552830724</v>
      </c>
      <c r="X804" s="8"/>
      <c r="Y804" s="637"/>
    </row>
    <row r="805" spans="1:25">
      <c r="A805" s="1128" t="s">
        <v>1637</v>
      </c>
      <c r="B805" s="978"/>
      <c r="C805" s="661" t="s">
        <v>1650</v>
      </c>
      <c r="D805" s="628"/>
      <c r="E805" s="628"/>
      <c r="F805" s="628"/>
      <c r="G805" s="663"/>
      <c r="H805" s="628"/>
      <c r="I805" s="628"/>
      <c r="J805" s="628"/>
      <c r="K805" s="628"/>
      <c r="L805" s="673">
        <f>L774*L804</f>
        <v>0</v>
      </c>
      <c r="X805" s="8"/>
      <c r="Y805" s="637"/>
    </row>
    <row r="806" spans="1:25">
      <c r="A806" s="1128" t="s">
        <v>1628</v>
      </c>
      <c r="B806" s="1132"/>
      <c r="C806" s="661"/>
      <c r="D806" s="628"/>
      <c r="E806" s="628"/>
      <c r="F806" s="628"/>
      <c r="G806" s="663"/>
      <c r="H806" s="628"/>
      <c r="I806" s="628"/>
      <c r="J806" s="628"/>
      <c r="K806" s="628"/>
      <c r="L806" s="673"/>
      <c r="X806" s="8"/>
      <c r="Y806" s="637"/>
    </row>
    <row r="807" spans="1:25" ht="15.6">
      <c r="A807" s="1128" t="s">
        <v>1638</v>
      </c>
      <c r="B807" s="978"/>
      <c r="C807" s="666" t="s">
        <v>1651</v>
      </c>
      <c r="D807" s="883"/>
      <c r="E807" s="883"/>
      <c r="F807" s="889"/>
      <c r="G807" s="884"/>
      <c r="H807" s="883"/>
      <c r="I807" s="883"/>
      <c r="J807" s="883"/>
      <c r="K807" s="628"/>
      <c r="L807" s="673">
        <f>L785+L794+L797+L801+L805+L790</f>
        <v>0</v>
      </c>
      <c r="X807" s="8"/>
      <c r="Y807" s="637"/>
    </row>
    <row r="808" spans="1:25" ht="15.6">
      <c r="A808" s="1128" t="s">
        <v>1629</v>
      </c>
      <c r="B808" s="1132"/>
      <c r="C808" s="666"/>
      <c r="D808" s="628"/>
      <c r="E808" s="628"/>
      <c r="F808" s="662"/>
      <c r="G808" s="663"/>
      <c r="H808" s="628"/>
      <c r="I808" s="628"/>
      <c r="J808" s="628"/>
      <c r="K808" s="628"/>
      <c r="L808" s="664"/>
      <c r="X808" s="8"/>
      <c r="Y808" s="637"/>
    </row>
    <row r="809" spans="1:25">
      <c r="A809" s="1128" t="s">
        <v>1639</v>
      </c>
      <c r="B809" s="978"/>
      <c r="C809" s="661" t="s">
        <v>928</v>
      </c>
      <c r="D809" s="628"/>
      <c r="E809" s="628"/>
      <c r="F809" s="662"/>
      <c r="G809" s="663"/>
      <c r="H809" s="628"/>
      <c r="I809" s="628"/>
      <c r="J809" s="628"/>
      <c r="K809" s="628"/>
      <c r="L809" s="682">
        <f>AppendixA!$H$212</f>
        <v>0.2658227848101265</v>
      </c>
      <c r="X809" s="8"/>
      <c r="Y809" s="637"/>
    </row>
    <row r="810" spans="1:25">
      <c r="A810" s="1128" t="s">
        <v>1640</v>
      </c>
      <c r="B810" s="978"/>
      <c r="C810" s="661" t="s">
        <v>929</v>
      </c>
      <c r="D810" s="628"/>
      <c r="E810" s="628"/>
      <c r="F810" s="662"/>
      <c r="G810" s="663"/>
      <c r="H810" s="628"/>
      <c r="I810" s="628"/>
      <c r="J810" s="628"/>
      <c r="K810" s="628"/>
      <c r="L810" s="677">
        <f>'6-WACC'!$G$16</f>
        <v>0.50515815125064667</v>
      </c>
      <c r="X810" s="8"/>
      <c r="Y810" s="637"/>
    </row>
    <row r="811" spans="1:25">
      <c r="A811" s="1128" t="s">
        <v>1641</v>
      </c>
      <c r="B811" s="978"/>
      <c r="C811" s="661" t="s">
        <v>1659</v>
      </c>
      <c r="D811" s="628"/>
      <c r="E811" s="628"/>
      <c r="F811" s="662"/>
      <c r="G811" s="663"/>
      <c r="H811" s="628"/>
      <c r="I811" s="628"/>
      <c r="J811" s="628"/>
      <c r="K811" s="628"/>
      <c r="L811" s="677">
        <f>((0.01/L809)*L810*100)</f>
        <v>1.9003568547048142</v>
      </c>
      <c r="X811" s="8"/>
      <c r="Y811" s="637"/>
    </row>
    <row r="812" spans="1:25">
      <c r="A812" s="1128" t="s">
        <v>1642</v>
      </c>
      <c r="B812" s="978"/>
      <c r="C812" s="661" t="s">
        <v>1660</v>
      </c>
      <c r="D812" s="628"/>
      <c r="E812" s="628"/>
      <c r="F812" s="662"/>
      <c r="G812" s="663"/>
      <c r="H812" s="628"/>
      <c r="I812" s="628"/>
      <c r="J812" s="628"/>
      <c r="K812" s="628"/>
      <c r="L812" s="673">
        <f>L768*L783</f>
        <v>0</v>
      </c>
      <c r="X812" s="8"/>
      <c r="Y812" s="637"/>
    </row>
    <row r="813" spans="1:25" ht="15.6">
      <c r="A813" s="1128" t="s">
        <v>1630</v>
      </c>
      <c r="B813" s="1132"/>
      <c r="C813" s="666"/>
      <c r="D813" s="628"/>
      <c r="E813" s="628"/>
      <c r="F813" s="662"/>
      <c r="G813" s="663"/>
      <c r="H813" s="628"/>
      <c r="I813" s="628"/>
      <c r="J813" s="628"/>
      <c r="K813" s="628"/>
      <c r="L813" s="673"/>
      <c r="X813" s="8"/>
      <c r="Y813" s="637"/>
    </row>
    <row r="814" spans="1:25" ht="15.6">
      <c r="A814" s="1128" t="s">
        <v>1643</v>
      </c>
      <c r="B814" s="978"/>
      <c r="C814" s="666" t="s">
        <v>1661</v>
      </c>
      <c r="D814" s="628"/>
      <c r="E814" s="628"/>
      <c r="F814" s="662"/>
      <c r="G814" s="663"/>
      <c r="H814" s="628"/>
      <c r="I814" s="628"/>
      <c r="J814" s="628"/>
      <c r="K814" s="628"/>
      <c r="L814" s="673">
        <f>L807+L812</f>
        <v>0</v>
      </c>
      <c r="X814" s="8"/>
      <c r="Y814" s="637"/>
    </row>
    <row r="815" spans="1:25" ht="15.6" thickBot="1">
      <c r="A815" s="1128"/>
      <c r="B815" s="1132"/>
      <c r="C815" s="667"/>
      <c r="D815" s="668"/>
      <c r="E815" s="668"/>
      <c r="F815" s="669"/>
      <c r="G815" s="670"/>
      <c r="H815" s="668"/>
      <c r="I815" s="668"/>
      <c r="J815" s="668"/>
      <c r="K815" s="668"/>
      <c r="L815" s="678"/>
      <c r="X815" s="8"/>
      <c r="Y815" s="637"/>
    </row>
    <row r="816" spans="1:25">
      <c r="A816" s="672"/>
      <c r="B816" s="672"/>
      <c r="C816" s="642"/>
      <c r="D816" s="628"/>
      <c r="E816" s="641"/>
      <c r="F816" s="628"/>
      <c r="G816" s="641"/>
      <c r="H816" s="628"/>
      <c r="I816" s="638"/>
      <c r="J816" s="638"/>
      <c r="K816" s="639"/>
      <c r="L816" s="638"/>
      <c r="W816" s="222"/>
      <c r="X816" s="222"/>
      <c r="Y816" s="222"/>
    </row>
    <row r="817" spans="1:25">
      <c r="A817" s="8" t="s">
        <v>941</v>
      </c>
      <c r="B817" s="8"/>
      <c r="C817" s="8"/>
      <c r="D817" s="8"/>
      <c r="E817" s="8"/>
      <c r="F817" s="8"/>
      <c r="G817" s="8"/>
      <c r="H817" s="8"/>
      <c r="I817" s="8"/>
      <c r="J817" s="8"/>
      <c r="K817" s="8"/>
      <c r="L817" s="8"/>
      <c r="M817" s="8"/>
      <c r="N817" s="640"/>
      <c r="O817" s="10"/>
      <c r="P817" s="222"/>
      <c r="Q817" s="222"/>
      <c r="R817" s="222"/>
      <c r="S817" s="222"/>
      <c r="T817" s="222"/>
      <c r="U817" s="10"/>
      <c r="V817" s="222"/>
      <c r="W817" s="222"/>
      <c r="X817" s="222"/>
      <c r="Y817" s="222"/>
    </row>
    <row r="818" spans="1:25">
      <c r="B818" s="10" t="s">
        <v>441</v>
      </c>
      <c r="C818" s="628"/>
      <c r="D818" s="628"/>
      <c r="E818" s="628"/>
      <c r="F818" s="628"/>
      <c r="G818" s="628"/>
      <c r="H818" s="628"/>
      <c r="I818" s="628"/>
      <c r="J818" s="628"/>
      <c r="K818" s="628"/>
      <c r="L818" s="628"/>
      <c r="M818" s="628"/>
      <c r="N818" s="640"/>
      <c r="O818" s="10"/>
      <c r="P818" s="222"/>
      <c r="Q818" s="222"/>
      <c r="R818" s="222"/>
      <c r="S818" s="222"/>
      <c r="T818" s="222"/>
      <c r="U818" s="10"/>
      <c r="V818" s="222"/>
      <c r="W818" s="222"/>
      <c r="X818" s="222"/>
      <c r="Y818" s="222"/>
    </row>
    <row r="819" spans="1:25">
      <c r="C819" s="628"/>
      <c r="D819" s="628"/>
      <c r="E819" s="628"/>
      <c r="F819" s="628"/>
      <c r="G819" s="10"/>
      <c r="H819" s="628"/>
      <c r="I819" s="628"/>
      <c r="J819" s="10" t="s">
        <v>917</v>
      </c>
      <c r="K819" s="628"/>
      <c r="L819" s="628"/>
      <c r="M819" s="628"/>
    </row>
    <row r="820" spans="1:25">
      <c r="C820" s="628"/>
      <c r="D820" s="628"/>
      <c r="E820" s="628"/>
      <c r="F820" s="628"/>
      <c r="G820" s="10"/>
      <c r="H820" s="628"/>
      <c r="I820" s="628"/>
      <c r="J820" s="647" t="s">
        <v>951</v>
      </c>
      <c r="K820" s="628"/>
      <c r="L820" s="628"/>
      <c r="M820" s="628"/>
    </row>
    <row r="821" spans="1:25" ht="15.6">
      <c r="B821" s="975" t="s">
        <v>983</v>
      </c>
      <c r="C821" s="975"/>
      <c r="D821" s="975"/>
      <c r="E821" s="975"/>
      <c r="F821" s="975"/>
      <c r="G821" s="975"/>
      <c r="H821" s="975"/>
      <c r="I821" s="975"/>
      <c r="J821" s="975"/>
      <c r="K821" s="975"/>
      <c r="L821" s="975"/>
      <c r="M821" s="975"/>
      <c r="N821" s="975"/>
      <c r="O821" s="975"/>
    </row>
    <row r="822" spans="1:25">
      <c r="B822" s="976" t="str">
        <f>$B$2</f>
        <v>(For Rate Year Beginning April 1, 2026, Based on December 31, 2025 Data)</v>
      </c>
      <c r="C822" s="976"/>
      <c r="D822" s="976"/>
      <c r="E822" s="976"/>
      <c r="F822" s="976"/>
      <c r="G822" s="976"/>
      <c r="H822" s="976"/>
      <c r="I822" s="976"/>
      <c r="J822" s="976"/>
      <c r="K822" s="976"/>
      <c r="L822" s="976"/>
      <c r="M822" s="976"/>
      <c r="N822" s="976"/>
      <c r="O822" s="976"/>
    </row>
    <row r="824" spans="1:25" ht="15.6">
      <c r="A824" s="1157" t="s">
        <v>986</v>
      </c>
      <c r="B824" s="1158"/>
      <c r="C824" s="1158"/>
      <c r="D824" s="1158"/>
      <c r="E824" s="1158"/>
      <c r="F824" s="1158"/>
    </row>
    <row r="826" spans="1:25">
      <c r="B826" s="6" t="s">
        <v>926</v>
      </c>
    </row>
    <row r="827" spans="1:25">
      <c r="B827" s="6" t="s">
        <v>927</v>
      </c>
    </row>
    <row r="828" spans="1:25">
      <c r="B828" s="6" t="s">
        <v>972</v>
      </c>
    </row>
    <row r="829" spans="1:25">
      <c r="B829" s="6" t="s">
        <v>954</v>
      </c>
    </row>
    <row r="831" spans="1:25">
      <c r="A831" s="1130" t="s">
        <v>244</v>
      </c>
      <c r="B831" s="978"/>
    </row>
    <row r="832" spans="1:25" ht="6" customHeight="1" thickBot="1">
      <c r="A832" s="1131"/>
      <c r="B832" s="1131"/>
    </row>
    <row r="833" spans="1:25" ht="15.6" thickBot="1">
      <c r="A833" s="1128" t="s">
        <v>521</v>
      </c>
      <c r="B833" s="1129"/>
      <c r="C833" s="1149" t="s">
        <v>930</v>
      </c>
      <c r="D833" s="1150"/>
      <c r="E833" s="1151"/>
      <c r="F833" s="1151"/>
      <c r="G833" s="1151"/>
      <c r="H833" s="1151"/>
      <c r="I833" s="1151"/>
      <c r="J833" s="1151"/>
      <c r="K833" s="1151"/>
      <c r="L833" s="1152"/>
      <c r="M833" s="628"/>
      <c r="O833" s="633"/>
    </row>
    <row r="834" spans="1:25" ht="15.6" thickBot="1">
      <c r="A834" s="1131"/>
      <c r="B834" s="1162"/>
      <c r="C834" s="634"/>
      <c r="D834" s="628"/>
      <c r="E834" s="628"/>
      <c r="F834" s="1153" t="s">
        <v>177</v>
      </c>
      <c r="G834" s="1154"/>
      <c r="H834" s="628"/>
      <c r="I834" s="628"/>
      <c r="J834" s="628"/>
      <c r="K834" s="628"/>
      <c r="L834" s="635" t="s">
        <v>178</v>
      </c>
      <c r="M834" s="642"/>
      <c r="O834" s="633"/>
    </row>
    <row r="835" spans="1:25">
      <c r="A835" s="1128" t="s">
        <v>518</v>
      </c>
      <c r="B835" s="1129"/>
      <c r="C835" s="1155" t="s">
        <v>931</v>
      </c>
      <c r="D835" s="1156"/>
      <c r="E835" s="1156"/>
      <c r="F835" s="1159"/>
      <c r="G835" s="1160"/>
      <c r="H835" s="1161"/>
      <c r="I835" s="1156"/>
      <c r="J835" s="1156"/>
      <c r="K835" s="1156"/>
      <c r="L835" s="636"/>
      <c r="M835" s="721"/>
    </row>
    <row r="836" spans="1:25">
      <c r="A836" s="1128" t="s">
        <v>515</v>
      </c>
      <c r="B836" s="1129"/>
      <c r="C836" s="1145" t="s">
        <v>932</v>
      </c>
      <c r="D836" s="1146"/>
      <c r="E836" s="1146"/>
      <c r="F836" s="1133"/>
      <c r="G836" s="1134"/>
      <c r="H836" s="1148" t="s">
        <v>933</v>
      </c>
      <c r="I836" s="1146"/>
      <c r="J836" s="1146"/>
      <c r="K836" s="1146"/>
      <c r="L836" s="671">
        <v>0</v>
      </c>
      <c r="M836" s="724"/>
    </row>
    <row r="837" spans="1:25">
      <c r="A837" s="1128" t="s">
        <v>512</v>
      </c>
      <c r="B837" s="1129"/>
      <c r="C837" s="1145" t="s">
        <v>934</v>
      </c>
      <c r="D837" s="1146"/>
      <c r="E837" s="1146"/>
      <c r="F837" s="1147"/>
      <c r="G837" s="1134"/>
      <c r="H837" s="1148" t="s">
        <v>1632</v>
      </c>
      <c r="I837" s="1146"/>
      <c r="J837" s="1146"/>
      <c r="K837" s="1146"/>
      <c r="L837" s="674">
        <f>L836*L876</f>
        <v>0</v>
      </c>
      <c r="M837" s="722"/>
    </row>
    <row r="838" spans="1:25" ht="15.6" thickBot="1">
      <c r="A838" s="1128" t="s">
        <v>510</v>
      </c>
      <c r="B838" s="978"/>
      <c r="C838" s="1145" t="s">
        <v>935</v>
      </c>
      <c r="D838" s="1146"/>
      <c r="E838" s="1146"/>
      <c r="F838" s="1133"/>
      <c r="G838" s="1134"/>
      <c r="H838" s="1148"/>
      <c r="I838" s="1146"/>
      <c r="J838" s="1146"/>
      <c r="K838" s="1146"/>
      <c r="L838" s="664"/>
      <c r="M838" s="723"/>
    </row>
    <row r="839" spans="1:25" ht="15" customHeight="1">
      <c r="A839" s="1128" t="s">
        <v>96</v>
      </c>
      <c r="B839" s="978"/>
      <c r="C839" s="246" t="s">
        <v>1620</v>
      </c>
      <c r="D839" s="665"/>
      <c r="E839" s="665"/>
      <c r="F839" s="665"/>
      <c r="G839" s="665"/>
      <c r="H839" s="665"/>
      <c r="I839" s="665"/>
      <c r="J839" s="665"/>
      <c r="K839" s="665"/>
      <c r="L839" s="676">
        <f>+'11 - Facilities'!N733</f>
        <v>0</v>
      </c>
      <c r="X839" s="8"/>
      <c r="Y839" s="637"/>
    </row>
    <row r="840" spans="1:25">
      <c r="A840" s="1128" t="s">
        <v>95</v>
      </c>
      <c r="B840" s="978"/>
      <c r="C840" s="234" t="s">
        <v>956</v>
      </c>
      <c r="D840" s="628"/>
      <c r="E840" s="628"/>
      <c r="F840" s="628"/>
      <c r="G840" s="663"/>
      <c r="H840" s="628"/>
      <c r="I840" s="628"/>
      <c r="J840" s="628"/>
      <c r="K840" s="628"/>
      <c r="L840" s="673">
        <f>Inputs!$D$112</f>
        <v>85279144.388324827</v>
      </c>
      <c r="X840" s="8"/>
      <c r="Y840" s="637"/>
    </row>
    <row r="841" spans="1:25">
      <c r="A841" s="1128" t="s">
        <v>93</v>
      </c>
      <c r="B841" s="978"/>
      <c r="C841" s="234" t="s">
        <v>957</v>
      </c>
      <c r="D841" s="628"/>
      <c r="E841" s="628"/>
      <c r="F841" s="628"/>
      <c r="G841" s="663"/>
      <c r="H841" s="628"/>
      <c r="I841" s="628"/>
      <c r="J841" s="628"/>
      <c r="K841" s="628"/>
      <c r="L841" s="673">
        <f>Inputs!$D$113</f>
        <v>35519691.656922147</v>
      </c>
      <c r="X841" s="8"/>
      <c r="Y841" s="637"/>
    </row>
    <row r="842" spans="1:25" ht="15" customHeight="1">
      <c r="A842" s="1128" t="s">
        <v>92</v>
      </c>
      <c r="B842" s="978"/>
      <c r="C842" s="661" t="s">
        <v>975</v>
      </c>
      <c r="D842" s="628"/>
      <c r="E842" s="628"/>
      <c r="F842" s="628"/>
      <c r="G842" s="663"/>
      <c r="H842" s="628"/>
      <c r="I842" s="628"/>
      <c r="J842" s="628"/>
      <c r="K842" s="628"/>
      <c r="L842" s="673">
        <f>L840-L841</f>
        <v>49759452.73140268</v>
      </c>
      <c r="X842" s="8"/>
      <c r="Y842" s="637"/>
    </row>
    <row r="843" spans="1:25">
      <c r="A843" s="1128" t="s">
        <v>107</v>
      </c>
      <c r="B843" s="978"/>
      <c r="C843" s="661" t="s">
        <v>976</v>
      </c>
      <c r="D843" s="628"/>
      <c r="E843" s="628"/>
      <c r="F843" s="628"/>
      <c r="G843" s="663"/>
      <c r="H843" s="628"/>
      <c r="I843" s="628"/>
      <c r="J843" s="628"/>
      <c r="K843" s="628"/>
      <c r="L843" s="677">
        <f>L839/L842</f>
        <v>0</v>
      </c>
      <c r="X843" s="8"/>
      <c r="Y843" s="637"/>
    </row>
    <row r="844" spans="1:25">
      <c r="A844" s="1128" t="s">
        <v>105</v>
      </c>
      <c r="B844" s="978"/>
      <c r="C844" s="661"/>
      <c r="D844" s="628"/>
      <c r="E844" s="628"/>
      <c r="F844" s="628"/>
      <c r="G844" s="663"/>
      <c r="H844" s="628"/>
      <c r="I844" s="628"/>
      <c r="J844" s="628"/>
      <c r="K844" s="628"/>
      <c r="L844" s="677"/>
      <c r="X844" s="8"/>
      <c r="Y844" s="637"/>
    </row>
    <row r="845" spans="1:25" ht="15.6">
      <c r="A845" s="1128" t="s">
        <v>104</v>
      </c>
      <c r="B845" s="978"/>
      <c r="C845" s="666" t="s">
        <v>967</v>
      </c>
      <c r="D845" s="628"/>
      <c r="E845" s="628"/>
      <c r="F845" s="628"/>
      <c r="G845" s="663"/>
      <c r="H845" s="628"/>
      <c r="I845" s="628"/>
      <c r="J845" s="628"/>
      <c r="K845" s="628"/>
      <c r="L845" s="677"/>
      <c r="X845" s="8"/>
      <c r="Y845" s="637"/>
    </row>
    <row r="846" spans="1:25">
      <c r="A846" s="1128" t="s">
        <v>103</v>
      </c>
      <c r="B846" s="978"/>
      <c r="C846" s="661" t="s">
        <v>1622</v>
      </c>
      <c r="D846" s="628"/>
      <c r="E846" s="628"/>
      <c r="F846" s="628"/>
      <c r="G846" s="663"/>
      <c r="H846" s="628"/>
      <c r="I846" s="628"/>
      <c r="J846" s="628"/>
      <c r="K846" s="628"/>
      <c r="L846" s="673">
        <f>+AppendixA!$H$48-AppendixA!$H$62</f>
        <v>701728.60760892951</v>
      </c>
      <c r="X846" s="8"/>
      <c r="Y846" s="637"/>
    </row>
    <row r="847" spans="1:25">
      <c r="A847" s="1128" t="s">
        <v>727</v>
      </c>
      <c r="B847" s="978"/>
      <c r="C847" s="661" t="s">
        <v>1623</v>
      </c>
      <c r="D847" s="628"/>
      <c r="E847" s="628"/>
      <c r="F847" s="628"/>
      <c r="G847" s="663"/>
      <c r="H847" s="628"/>
      <c r="I847" s="628"/>
      <c r="J847" s="628"/>
      <c r="K847" s="628"/>
      <c r="L847" s="673">
        <f>+L846*L843</f>
        <v>0</v>
      </c>
      <c r="X847" s="8"/>
      <c r="Y847" s="637"/>
    </row>
    <row r="848" spans="1:25">
      <c r="A848" s="1128" t="s">
        <v>728</v>
      </c>
      <c r="B848" s="978"/>
      <c r="C848" s="880"/>
      <c r="D848" s="628"/>
      <c r="E848" s="628"/>
      <c r="F848" s="628"/>
      <c r="G848" s="663"/>
      <c r="H848" s="628"/>
      <c r="I848" s="628"/>
      <c r="J848" s="628"/>
      <c r="K848" s="628"/>
      <c r="L848" s="890"/>
      <c r="X848" s="8"/>
      <c r="Y848" s="637"/>
    </row>
    <row r="849" spans="1:25" ht="15.6">
      <c r="A849" s="1128" t="s">
        <v>745</v>
      </c>
      <c r="B849" s="1132"/>
      <c r="C849" s="666" t="s">
        <v>1644</v>
      </c>
      <c r="D849" s="628"/>
      <c r="E849" s="628"/>
      <c r="F849" s="628"/>
      <c r="G849" s="663"/>
      <c r="H849" s="628"/>
      <c r="I849" s="628"/>
      <c r="J849" s="628"/>
      <c r="K849" s="628"/>
      <c r="L849" s="664"/>
      <c r="X849" s="8"/>
      <c r="Y849" s="637"/>
    </row>
    <row r="850" spans="1:25">
      <c r="A850" s="1128" t="s">
        <v>746</v>
      </c>
      <c r="B850" s="1132"/>
      <c r="C850" s="661" t="s">
        <v>958</v>
      </c>
      <c r="D850" s="628"/>
      <c r="E850" s="628"/>
      <c r="F850" s="628"/>
      <c r="G850" s="663"/>
      <c r="H850" s="628"/>
      <c r="I850" s="628"/>
      <c r="J850" s="628"/>
      <c r="K850" s="628"/>
      <c r="L850" s="673">
        <f>AppendixA!$H$95</f>
        <v>-5612988.9467919813</v>
      </c>
      <c r="X850" s="8"/>
      <c r="Y850" s="637"/>
    </row>
    <row r="851" spans="1:25">
      <c r="A851" s="1128" t="s">
        <v>747</v>
      </c>
      <c r="B851" s="1132"/>
      <c r="C851" s="661" t="s">
        <v>1655</v>
      </c>
      <c r="D851" s="628"/>
      <c r="E851" s="628"/>
      <c r="F851" s="628"/>
      <c r="G851" s="663"/>
      <c r="H851" s="628"/>
      <c r="I851" s="628"/>
      <c r="J851" s="628"/>
      <c r="K851" s="628"/>
      <c r="L851" s="673">
        <f>L850*L843</f>
        <v>0</v>
      </c>
      <c r="X851" s="8"/>
      <c r="Y851" s="637"/>
    </row>
    <row r="852" spans="1:25">
      <c r="A852" s="1128" t="s">
        <v>748</v>
      </c>
      <c r="B852" s="978"/>
      <c r="C852" s="661" t="s">
        <v>1656</v>
      </c>
      <c r="D852" s="628"/>
      <c r="E852" s="628"/>
      <c r="F852" s="628"/>
      <c r="G852" s="663"/>
      <c r="H852" s="628"/>
      <c r="I852" s="628"/>
      <c r="J852" s="628"/>
      <c r="K852" s="628"/>
      <c r="L852" s="673">
        <f>L839+L851+L847</f>
        <v>0</v>
      </c>
      <c r="X852" s="8"/>
      <c r="Y852" s="637"/>
    </row>
    <row r="853" spans="1:25">
      <c r="A853" s="1128" t="s">
        <v>749</v>
      </c>
      <c r="B853" s="978"/>
      <c r="C853" s="661" t="s">
        <v>959</v>
      </c>
      <c r="D853" s="628"/>
      <c r="E853" s="628"/>
      <c r="F853" s="628"/>
      <c r="G853" s="663"/>
      <c r="H853" s="628"/>
      <c r="I853" s="628"/>
      <c r="J853" s="628"/>
      <c r="K853" s="628"/>
      <c r="L853" s="677">
        <f>AppendixA!$H$182</f>
        <v>7.3603939048291073E-2</v>
      </c>
      <c r="X853" s="8"/>
      <c r="Y853" s="637"/>
    </row>
    <row r="854" spans="1:25">
      <c r="A854" s="1128" t="s">
        <v>750</v>
      </c>
      <c r="B854" s="978"/>
      <c r="C854" s="661" t="s">
        <v>1657</v>
      </c>
      <c r="D854" s="628"/>
      <c r="E854" s="628"/>
      <c r="F854" s="628"/>
      <c r="G854" s="663"/>
      <c r="H854" s="628"/>
      <c r="I854" s="628"/>
      <c r="J854" s="628"/>
      <c r="K854" s="628"/>
      <c r="L854" s="673">
        <f>L852*L853</f>
        <v>0</v>
      </c>
      <c r="X854" s="8"/>
      <c r="Y854" s="637"/>
    </row>
    <row r="855" spans="1:25">
      <c r="A855" s="878"/>
      <c r="B855" s="882" t="s">
        <v>751</v>
      </c>
      <c r="C855" s="661"/>
      <c r="D855" s="628"/>
      <c r="E855" s="628"/>
      <c r="F855" s="628"/>
      <c r="G855" s="663"/>
      <c r="H855" s="628"/>
      <c r="I855" s="628"/>
      <c r="J855" s="628"/>
      <c r="K855" s="628"/>
      <c r="L855" s="673"/>
      <c r="X855" s="8"/>
      <c r="Y855" s="637"/>
    </row>
    <row r="856" spans="1:25" ht="15.6">
      <c r="A856" s="1128" t="s">
        <v>936</v>
      </c>
      <c r="B856" s="978"/>
      <c r="C856" s="666" t="s">
        <v>1645</v>
      </c>
      <c r="D856" s="628"/>
      <c r="E856" s="628"/>
      <c r="F856" s="628"/>
      <c r="G856" s="663"/>
      <c r="H856" s="628"/>
      <c r="I856" s="628"/>
      <c r="J856" s="628"/>
      <c r="K856" s="628"/>
      <c r="L856" s="673"/>
      <c r="X856" s="8"/>
      <c r="Y856" s="637"/>
    </row>
    <row r="857" spans="1:25">
      <c r="A857" s="1128">
        <v>24</v>
      </c>
      <c r="B857" s="978"/>
      <c r="C857" s="661" t="s">
        <v>1647</v>
      </c>
      <c r="D857" s="628"/>
      <c r="E857" s="628"/>
      <c r="F857" s="628"/>
      <c r="G857" s="663"/>
      <c r="H857" s="628"/>
      <c r="I857" s="628"/>
      <c r="J857" s="628"/>
      <c r="K857" s="628"/>
      <c r="L857" s="673">
        <f>+AppendixA!$H$141</f>
        <v>62220.916888344676</v>
      </c>
      <c r="X857" s="8"/>
      <c r="Y857" s="637"/>
    </row>
    <row r="858" spans="1:25">
      <c r="A858" s="1128" t="s">
        <v>937</v>
      </c>
      <c r="B858" s="978"/>
      <c r="C858" s="885"/>
      <c r="D858" s="886"/>
      <c r="E858" s="886"/>
      <c r="F858" s="886"/>
      <c r="G858" s="887"/>
      <c r="H858" s="886"/>
      <c r="I858" s="886"/>
      <c r="J858" s="886"/>
      <c r="K858" s="886"/>
      <c r="L858" s="888"/>
      <c r="X858" s="8"/>
      <c r="Y858" s="637"/>
    </row>
    <row r="859" spans="1:25">
      <c r="A859" s="1128" t="s">
        <v>938</v>
      </c>
      <c r="B859" s="978"/>
      <c r="C859" s="661" t="s">
        <v>1646</v>
      </c>
      <c r="D859" s="628"/>
      <c r="E859" s="628"/>
      <c r="F859" s="628"/>
      <c r="G859" s="663"/>
      <c r="H859" s="628"/>
      <c r="I859" s="628"/>
      <c r="J859" s="628"/>
      <c r="K859" s="628"/>
      <c r="L859" s="673">
        <f>+L857*L843</f>
        <v>0</v>
      </c>
      <c r="X859" s="8"/>
      <c r="Y859" s="637"/>
    </row>
    <row r="860" spans="1:25">
      <c r="A860" s="1128" t="s">
        <v>939</v>
      </c>
      <c r="B860" s="978"/>
      <c r="C860" s="661"/>
      <c r="D860" s="628"/>
      <c r="E860" s="628"/>
      <c r="F860" s="628"/>
      <c r="G860" s="663"/>
      <c r="H860" s="628"/>
      <c r="I860" s="628"/>
      <c r="J860" s="628"/>
      <c r="K860" s="628"/>
      <c r="L860" s="664"/>
      <c r="X860" s="8"/>
      <c r="Y860" s="637"/>
    </row>
    <row r="861" spans="1:25" ht="15.6">
      <c r="A861" s="1128" t="s">
        <v>940</v>
      </c>
      <c r="B861" s="978"/>
      <c r="C861" s="666" t="s">
        <v>960</v>
      </c>
      <c r="D861" s="628"/>
      <c r="E861" s="628"/>
      <c r="F861" s="628"/>
      <c r="G861" s="663"/>
      <c r="H861" s="628"/>
      <c r="I861" s="628"/>
      <c r="J861" s="628"/>
      <c r="K861" s="628"/>
      <c r="L861" s="664"/>
      <c r="X861" s="8"/>
      <c r="Y861" s="637"/>
    </row>
    <row r="862" spans="1:25">
      <c r="A862" s="1128" t="s">
        <v>968</v>
      </c>
      <c r="B862" s="978"/>
      <c r="C862" s="661" t="s">
        <v>961</v>
      </c>
      <c r="D862" s="628"/>
      <c r="E862" s="628"/>
      <c r="F862" s="628"/>
      <c r="G862" s="663"/>
      <c r="H862" s="628"/>
      <c r="I862" s="628"/>
      <c r="J862" s="628"/>
      <c r="K862" s="628"/>
      <c r="L862" s="673">
        <f>AppendixA!$H$130</f>
        <v>1172367.8913758555</v>
      </c>
      <c r="X862" s="8"/>
      <c r="Y862" s="637"/>
    </row>
    <row r="863" spans="1:25">
      <c r="A863" s="1128" t="s">
        <v>969</v>
      </c>
      <c r="B863" s="978"/>
      <c r="C863" s="661" t="s">
        <v>1658</v>
      </c>
      <c r="D863" s="628"/>
      <c r="E863" s="628"/>
      <c r="F863" s="628"/>
      <c r="G863" s="663"/>
      <c r="H863" s="628"/>
      <c r="I863" s="628"/>
      <c r="J863" s="628"/>
      <c r="K863" s="628"/>
      <c r="L863" s="673">
        <f>L843*L862</f>
        <v>0</v>
      </c>
      <c r="X863" s="8"/>
      <c r="Y863" s="637"/>
    </row>
    <row r="864" spans="1:25">
      <c r="A864" s="1128" t="s">
        <v>970</v>
      </c>
      <c r="B864" s="978"/>
      <c r="C864" s="661"/>
      <c r="D864" s="628"/>
      <c r="E864" s="628"/>
      <c r="F864" s="628"/>
      <c r="G864" s="663"/>
      <c r="H864" s="628"/>
      <c r="I864" s="628"/>
      <c r="J864" s="628"/>
      <c r="K864" s="628"/>
      <c r="L864" s="664"/>
      <c r="X864" s="8"/>
      <c r="Y864" s="637"/>
    </row>
    <row r="865" spans="1:25" ht="15.6">
      <c r="A865" s="1128" t="s">
        <v>971</v>
      </c>
      <c r="B865" s="978"/>
      <c r="C865" s="666" t="s">
        <v>1621</v>
      </c>
      <c r="D865" s="628"/>
      <c r="E865" s="628"/>
      <c r="F865" s="628"/>
      <c r="G865" s="663"/>
      <c r="H865" s="628"/>
      <c r="I865" s="628"/>
      <c r="J865" s="628"/>
      <c r="K865" s="628"/>
      <c r="L865" s="664"/>
      <c r="X865" s="8"/>
      <c r="Y865" s="637"/>
    </row>
    <row r="866" spans="1:25">
      <c r="A866" s="1128" t="s">
        <v>1633</v>
      </c>
      <c r="B866" s="978"/>
      <c r="C866" s="661" t="s">
        <v>1648</v>
      </c>
      <c r="D866" s="628"/>
      <c r="E866" s="628"/>
      <c r="F866" s="628"/>
      <c r="G866" s="663"/>
      <c r="H866" s="628"/>
      <c r="I866" s="628"/>
      <c r="J866" s="628"/>
      <c r="K866" s="628"/>
      <c r="L866" s="675">
        <f>+'11 - Facilities'!O733</f>
        <v>0</v>
      </c>
      <c r="X866" s="8"/>
      <c r="Y866" s="637"/>
    </row>
    <row r="867" spans="1:25">
      <c r="A867" s="1128" t="s">
        <v>1624</v>
      </c>
      <c r="B867" s="978"/>
      <c r="C867" s="661"/>
      <c r="D867" s="628"/>
      <c r="E867" s="628"/>
      <c r="F867" s="628"/>
      <c r="G867" s="663"/>
      <c r="H867" s="628"/>
      <c r="I867" s="628"/>
      <c r="J867" s="628"/>
      <c r="K867" s="628"/>
      <c r="L867" s="673"/>
      <c r="X867" s="8"/>
      <c r="Y867" s="637"/>
    </row>
    <row r="868" spans="1:25" ht="15.6">
      <c r="A868" s="1128" t="s">
        <v>1625</v>
      </c>
      <c r="B868" s="1132"/>
      <c r="C868" s="666" t="s">
        <v>962</v>
      </c>
      <c r="D868" s="628"/>
      <c r="E868" s="628"/>
      <c r="F868" s="628"/>
      <c r="G868" s="663"/>
      <c r="H868" s="628"/>
      <c r="I868" s="628"/>
      <c r="J868" s="628"/>
      <c r="K868" s="628"/>
      <c r="L868" s="673"/>
      <c r="X868" s="8"/>
      <c r="Y868" s="637"/>
    </row>
    <row r="869" spans="1:25">
      <c r="A869" s="1128" t="s">
        <v>1634</v>
      </c>
      <c r="B869" s="978"/>
      <c r="C869" s="661" t="s">
        <v>963</v>
      </c>
      <c r="D869" s="628"/>
      <c r="E869" s="628"/>
      <c r="F869" s="628"/>
      <c r="G869" s="663"/>
      <c r="H869" s="628"/>
      <c r="I869" s="628"/>
      <c r="J869" s="628"/>
      <c r="K869" s="628"/>
      <c r="L869" s="673">
        <f>AppendixA!$H$149</f>
        <v>420701.86116179236</v>
      </c>
      <c r="X869" s="8"/>
      <c r="Y869" s="637"/>
    </row>
    <row r="870" spans="1:25">
      <c r="A870" s="1128" t="s">
        <v>1635</v>
      </c>
      <c r="B870" s="978"/>
      <c r="C870" s="661" t="s">
        <v>1649</v>
      </c>
      <c r="D870" s="628"/>
      <c r="E870" s="628"/>
      <c r="F870" s="628"/>
      <c r="G870" s="663"/>
      <c r="H870" s="883"/>
      <c r="I870" s="628"/>
      <c r="J870" s="628"/>
      <c r="K870" s="628"/>
      <c r="L870" s="673">
        <f>L843*L869</f>
        <v>0</v>
      </c>
      <c r="X870" s="8"/>
      <c r="Y870" s="637"/>
    </row>
    <row r="871" spans="1:25">
      <c r="A871" s="1128" t="s">
        <v>1626</v>
      </c>
      <c r="B871" s="978"/>
      <c r="C871" s="661"/>
      <c r="D871" s="628"/>
      <c r="E871" s="628"/>
      <c r="F871" s="628"/>
      <c r="G871" s="663"/>
      <c r="H871" s="628"/>
      <c r="I871" s="628"/>
      <c r="J871" s="628"/>
      <c r="K871" s="628"/>
      <c r="L871" s="673"/>
      <c r="X871" s="8"/>
      <c r="Y871" s="637"/>
    </row>
    <row r="872" spans="1:25" ht="15.6">
      <c r="A872" s="1128" t="s">
        <v>1627</v>
      </c>
      <c r="B872" s="1132"/>
      <c r="C872" s="666" t="s">
        <v>964</v>
      </c>
      <c r="D872" s="628"/>
      <c r="E872" s="628"/>
      <c r="F872" s="628"/>
      <c r="G872" s="663"/>
      <c r="H872" s="628"/>
      <c r="I872" s="628"/>
      <c r="J872" s="628"/>
      <c r="K872" s="628"/>
      <c r="L872" s="673"/>
      <c r="X872" s="8"/>
      <c r="Y872" s="637"/>
    </row>
    <row r="873" spans="1:25">
      <c r="A873" s="1128" t="s">
        <v>1636</v>
      </c>
      <c r="B873" s="978"/>
      <c r="C873" s="661" t="s">
        <v>965</v>
      </c>
      <c r="D873" s="628"/>
      <c r="E873" s="628"/>
      <c r="F873" s="628"/>
      <c r="G873" s="663"/>
      <c r="H873" s="628"/>
      <c r="I873" s="628"/>
      <c r="J873" s="628"/>
      <c r="K873" s="628"/>
      <c r="L873" s="673">
        <f>AppendixA!$H$228</f>
        <v>524818.20552830724</v>
      </c>
      <c r="X873" s="8"/>
      <c r="Y873" s="637"/>
    </row>
    <row r="874" spans="1:25">
      <c r="A874" s="1128" t="s">
        <v>1637</v>
      </c>
      <c r="B874" s="978"/>
      <c r="C874" s="661" t="s">
        <v>1650</v>
      </c>
      <c r="D874" s="628"/>
      <c r="E874" s="628"/>
      <c r="F874" s="628"/>
      <c r="G874" s="663"/>
      <c r="H874" s="628"/>
      <c r="I874" s="628"/>
      <c r="J874" s="628"/>
      <c r="K874" s="628"/>
      <c r="L874" s="673">
        <f>L843*L873</f>
        <v>0</v>
      </c>
      <c r="X874" s="8"/>
      <c r="Y874" s="637"/>
    </row>
    <row r="875" spans="1:25">
      <c r="A875" s="1128" t="s">
        <v>1628</v>
      </c>
      <c r="B875" s="1132"/>
      <c r="C875" s="661"/>
      <c r="D875" s="628"/>
      <c r="E875" s="628"/>
      <c r="F875" s="628"/>
      <c r="G875" s="663"/>
      <c r="H875" s="628"/>
      <c r="I875" s="628"/>
      <c r="J875" s="628"/>
      <c r="K875" s="628"/>
      <c r="L875" s="673"/>
      <c r="X875" s="8"/>
      <c r="Y875" s="637"/>
    </row>
    <row r="876" spans="1:25" ht="15.6">
      <c r="A876" s="1128" t="s">
        <v>1638</v>
      </c>
      <c r="B876" s="978"/>
      <c r="C876" s="666" t="s">
        <v>1651</v>
      </c>
      <c r="D876" s="883"/>
      <c r="E876" s="883"/>
      <c r="F876" s="889"/>
      <c r="G876" s="884"/>
      <c r="H876" s="883"/>
      <c r="I876" s="883"/>
      <c r="J876" s="883"/>
      <c r="K876" s="628"/>
      <c r="L876" s="673">
        <f>L854+L863+L866+L870+L874+L859</f>
        <v>0</v>
      </c>
      <c r="X876" s="8"/>
      <c r="Y876" s="637"/>
    </row>
    <row r="877" spans="1:25" ht="15.6">
      <c r="A877" s="1128" t="s">
        <v>1629</v>
      </c>
      <c r="B877" s="1132"/>
      <c r="C877" s="666"/>
      <c r="D877" s="628"/>
      <c r="E877" s="628"/>
      <c r="F877" s="662"/>
      <c r="G877" s="663"/>
      <c r="H877" s="628"/>
      <c r="I877" s="628"/>
      <c r="J877" s="628"/>
      <c r="K877" s="628"/>
      <c r="L877" s="664"/>
      <c r="X877" s="8"/>
      <c r="Y877" s="637"/>
    </row>
    <row r="878" spans="1:25">
      <c r="A878" s="1128" t="s">
        <v>1639</v>
      </c>
      <c r="B878" s="978"/>
      <c r="C878" s="661" t="s">
        <v>928</v>
      </c>
      <c r="D878" s="628"/>
      <c r="E878" s="628"/>
      <c r="F878" s="662"/>
      <c r="G878" s="663"/>
      <c r="H878" s="628"/>
      <c r="I878" s="628"/>
      <c r="J878" s="628"/>
      <c r="K878" s="628"/>
      <c r="L878" s="682">
        <f>AppendixA!$H$212</f>
        <v>0.2658227848101265</v>
      </c>
      <c r="X878" s="8"/>
      <c r="Y878" s="637"/>
    </row>
    <row r="879" spans="1:25">
      <c r="A879" s="1128" t="s">
        <v>1640</v>
      </c>
      <c r="B879" s="978"/>
      <c r="C879" s="661" t="s">
        <v>929</v>
      </c>
      <c r="D879" s="628"/>
      <c r="E879" s="628"/>
      <c r="F879" s="662"/>
      <c r="G879" s="663"/>
      <c r="H879" s="628"/>
      <c r="I879" s="628"/>
      <c r="J879" s="628"/>
      <c r="K879" s="628"/>
      <c r="L879" s="677">
        <f>'6-WACC'!$G$16</f>
        <v>0.50515815125064667</v>
      </c>
      <c r="X879" s="8"/>
      <c r="Y879" s="637"/>
    </row>
    <row r="880" spans="1:25">
      <c r="A880" s="1128" t="s">
        <v>1641</v>
      </c>
      <c r="B880" s="978"/>
      <c r="C880" s="661" t="s">
        <v>1659</v>
      </c>
      <c r="D880" s="628"/>
      <c r="E880" s="628"/>
      <c r="F880" s="662"/>
      <c r="G880" s="663"/>
      <c r="H880" s="628"/>
      <c r="I880" s="628"/>
      <c r="J880" s="628"/>
      <c r="K880" s="628"/>
      <c r="L880" s="677">
        <f>((0.01/L878)*L879*100)</f>
        <v>1.9003568547048142</v>
      </c>
      <c r="X880" s="8"/>
      <c r="Y880" s="637"/>
    </row>
    <row r="881" spans="1:25">
      <c r="A881" s="1128" t="s">
        <v>1642</v>
      </c>
      <c r="B881" s="978"/>
      <c r="C881" s="661" t="s">
        <v>1660</v>
      </c>
      <c r="D881" s="628"/>
      <c r="E881" s="628"/>
      <c r="F881" s="662"/>
      <c r="G881" s="663"/>
      <c r="H881" s="628"/>
      <c r="I881" s="628"/>
      <c r="J881" s="628"/>
      <c r="K881" s="628"/>
      <c r="L881" s="673">
        <f>L837*L852</f>
        <v>0</v>
      </c>
      <c r="X881" s="8"/>
      <c r="Y881" s="637"/>
    </row>
    <row r="882" spans="1:25" ht="15.6">
      <c r="A882" s="1128" t="s">
        <v>1630</v>
      </c>
      <c r="B882" s="1132"/>
      <c r="C882" s="666"/>
      <c r="D882" s="628"/>
      <c r="E882" s="628"/>
      <c r="F882" s="662"/>
      <c r="G882" s="663"/>
      <c r="H882" s="628"/>
      <c r="I882" s="628"/>
      <c r="J882" s="628"/>
      <c r="K882" s="628"/>
      <c r="L882" s="673"/>
      <c r="X882" s="8"/>
      <c r="Y882" s="637"/>
    </row>
    <row r="883" spans="1:25" ht="15.6">
      <c r="A883" s="1128" t="s">
        <v>1643</v>
      </c>
      <c r="B883" s="978"/>
      <c r="C883" s="666" t="s">
        <v>1661</v>
      </c>
      <c r="D883" s="628"/>
      <c r="E883" s="628"/>
      <c r="F883" s="662"/>
      <c r="G883" s="663"/>
      <c r="H883" s="628"/>
      <c r="I883" s="628"/>
      <c r="J883" s="628"/>
      <c r="K883" s="628"/>
      <c r="L883" s="673">
        <f>L876+L881</f>
        <v>0</v>
      </c>
      <c r="X883" s="8"/>
      <c r="Y883" s="637"/>
    </row>
    <row r="884" spans="1:25" ht="15.6" thickBot="1">
      <c r="A884" s="1128"/>
      <c r="B884" s="1132"/>
      <c r="C884" s="667"/>
      <c r="D884" s="668"/>
      <c r="E884" s="668"/>
      <c r="F884" s="669"/>
      <c r="G884" s="670"/>
      <c r="H884" s="668"/>
      <c r="I884" s="668"/>
      <c r="J884" s="668"/>
      <c r="K884" s="668"/>
      <c r="L884" s="678"/>
      <c r="X884" s="8"/>
      <c r="Y884" s="637"/>
    </row>
    <row r="885" spans="1:25">
      <c r="A885" s="672"/>
      <c r="B885" s="672"/>
      <c r="C885" s="642"/>
      <c r="D885" s="628"/>
      <c r="E885" s="641"/>
      <c r="F885" s="628"/>
      <c r="G885" s="641"/>
      <c r="H885" s="628"/>
      <c r="I885" s="638"/>
      <c r="J885" s="638"/>
      <c r="K885" s="639"/>
      <c r="L885" s="638"/>
      <c r="W885" s="222"/>
      <c r="X885" s="222"/>
      <c r="Y885" s="222"/>
    </row>
    <row r="886" spans="1:25">
      <c r="A886" s="8" t="s">
        <v>941</v>
      </c>
      <c r="B886" s="8"/>
      <c r="C886" s="8"/>
      <c r="D886" s="8"/>
      <c r="E886" s="8"/>
      <c r="F886" s="8"/>
      <c r="G886" s="8"/>
      <c r="H886" s="8"/>
      <c r="I886" s="8"/>
      <c r="J886" s="8"/>
      <c r="K886" s="8"/>
      <c r="L886" s="8"/>
      <c r="M886" s="8"/>
      <c r="N886" s="640"/>
      <c r="O886" s="10"/>
      <c r="P886" s="222"/>
      <c r="Q886" s="222"/>
      <c r="R886" s="222"/>
      <c r="S886" s="222"/>
      <c r="T886" s="222"/>
      <c r="U886" s="10"/>
      <c r="V886" s="222"/>
      <c r="W886" s="222"/>
      <c r="X886" s="222"/>
      <c r="Y886" s="222"/>
    </row>
    <row r="887" spans="1:25">
      <c r="B887" s="10" t="s">
        <v>441</v>
      </c>
      <c r="C887" s="628"/>
      <c r="D887" s="628"/>
      <c r="E887" s="628"/>
      <c r="F887" s="628"/>
      <c r="G887" s="628"/>
      <c r="H887" s="628"/>
      <c r="I887" s="628"/>
      <c r="J887" s="628"/>
      <c r="K887" s="628"/>
      <c r="L887" s="628"/>
      <c r="M887" s="628"/>
      <c r="N887" s="640"/>
      <c r="O887" s="10"/>
      <c r="P887" s="222"/>
      <c r="Q887" s="222"/>
      <c r="R887" s="222"/>
      <c r="S887" s="222"/>
      <c r="T887" s="222"/>
      <c r="U887" s="10"/>
      <c r="V887" s="222"/>
      <c r="W887" s="222"/>
      <c r="X887" s="222"/>
      <c r="Y887" s="222"/>
    </row>
    <row r="888" spans="1:25">
      <c r="C888" s="628"/>
      <c r="D888" s="628"/>
      <c r="E888" s="628"/>
      <c r="F888" s="628"/>
      <c r="G888" s="10"/>
      <c r="H888" s="628"/>
      <c r="I888" s="628"/>
      <c r="J888" s="10" t="s">
        <v>917</v>
      </c>
      <c r="K888" s="628"/>
      <c r="L888" s="628"/>
      <c r="M888" s="628"/>
    </row>
    <row r="889" spans="1:25">
      <c r="C889" s="628"/>
      <c r="D889" s="628"/>
      <c r="E889" s="628"/>
      <c r="F889" s="628"/>
      <c r="G889" s="10"/>
      <c r="H889" s="628"/>
      <c r="I889" s="628"/>
      <c r="J889" s="647" t="s">
        <v>952</v>
      </c>
      <c r="K889" s="628"/>
      <c r="L889" s="628"/>
      <c r="M889" s="628"/>
    </row>
    <row r="890" spans="1:25" ht="15.6">
      <c r="B890" s="975" t="s">
        <v>983</v>
      </c>
      <c r="C890" s="975"/>
      <c r="D890" s="975"/>
      <c r="E890" s="975"/>
      <c r="F890" s="975"/>
      <c r="G890" s="975"/>
      <c r="H890" s="975"/>
      <c r="I890" s="975"/>
      <c r="J890" s="975"/>
      <c r="K890" s="975"/>
      <c r="L890" s="975"/>
      <c r="M890" s="975"/>
      <c r="N890" s="975"/>
      <c r="O890" s="975"/>
    </row>
    <row r="891" spans="1:25">
      <c r="B891" s="976" t="str">
        <f>$B$2</f>
        <v>(For Rate Year Beginning April 1, 2026, Based on December 31, 2025 Data)</v>
      </c>
      <c r="C891" s="976"/>
      <c r="D891" s="976"/>
      <c r="E891" s="976"/>
      <c r="F891" s="976"/>
      <c r="G891" s="976"/>
      <c r="H891" s="976"/>
      <c r="I891" s="976"/>
      <c r="J891" s="976"/>
      <c r="K891" s="976"/>
      <c r="L891" s="976"/>
      <c r="M891" s="976"/>
      <c r="N891" s="976"/>
      <c r="O891" s="976"/>
    </row>
    <row r="893" spans="1:25" ht="15.6">
      <c r="A893" s="1157" t="s">
        <v>986</v>
      </c>
      <c r="B893" s="1158"/>
      <c r="C893" s="1158"/>
      <c r="D893" s="1158"/>
      <c r="E893" s="1158"/>
      <c r="F893" s="1158"/>
    </row>
    <row r="895" spans="1:25">
      <c r="B895" s="6" t="s">
        <v>926</v>
      </c>
    </row>
    <row r="896" spans="1:25">
      <c r="B896" s="6" t="s">
        <v>927</v>
      </c>
    </row>
    <row r="897" spans="1:25">
      <c r="B897" s="6" t="s">
        <v>972</v>
      </c>
    </row>
    <row r="898" spans="1:25">
      <c r="B898" s="6" t="s">
        <v>954</v>
      </c>
    </row>
    <row r="900" spans="1:25">
      <c r="A900" s="1130" t="s">
        <v>244</v>
      </c>
      <c r="B900" s="978"/>
    </row>
    <row r="901" spans="1:25" ht="15.6" thickBot="1">
      <c r="A901" s="1131"/>
      <c r="B901" s="1131"/>
    </row>
    <row r="902" spans="1:25" ht="15.6" thickBot="1">
      <c r="A902" s="1128" t="s">
        <v>521</v>
      </c>
      <c r="B902" s="1129"/>
      <c r="C902" s="1149" t="s">
        <v>930</v>
      </c>
      <c r="D902" s="1150"/>
      <c r="E902" s="1151"/>
      <c r="F902" s="1151"/>
      <c r="G902" s="1151"/>
      <c r="H902" s="1151"/>
      <c r="I902" s="1151"/>
      <c r="J902" s="1151"/>
      <c r="K902" s="1151"/>
      <c r="L902" s="1152"/>
      <c r="M902" s="628"/>
      <c r="O902" s="633"/>
    </row>
    <row r="903" spans="1:25" ht="15.6" thickBot="1">
      <c r="A903" s="1131"/>
      <c r="B903" s="1162"/>
      <c r="C903" s="634"/>
      <c r="D903" s="628"/>
      <c r="E903" s="628"/>
      <c r="F903" s="1153" t="s">
        <v>177</v>
      </c>
      <c r="G903" s="1154"/>
      <c r="H903" s="628"/>
      <c r="I903" s="628"/>
      <c r="J903" s="628"/>
      <c r="K903" s="628"/>
      <c r="L903" s="635" t="s">
        <v>178</v>
      </c>
      <c r="M903" s="642"/>
      <c r="O903" s="633"/>
    </row>
    <row r="904" spans="1:25">
      <c r="A904" s="1128" t="s">
        <v>518</v>
      </c>
      <c r="B904" s="1129"/>
      <c r="C904" s="1155" t="s">
        <v>931</v>
      </c>
      <c r="D904" s="1156"/>
      <c r="E904" s="1156"/>
      <c r="F904" s="1159"/>
      <c r="G904" s="1160"/>
      <c r="H904" s="1161"/>
      <c r="I904" s="1156"/>
      <c r="J904" s="1156"/>
      <c r="K904" s="1156"/>
      <c r="L904" s="636"/>
      <c r="M904" s="721"/>
    </row>
    <row r="905" spans="1:25">
      <c r="A905" s="1128" t="s">
        <v>515</v>
      </c>
      <c r="B905" s="1129"/>
      <c r="C905" s="1145" t="s">
        <v>932</v>
      </c>
      <c r="D905" s="1146"/>
      <c r="E905" s="1146"/>
      <c r="F905" s="1133"/>
      <c r="G905" s="1134"/>
      <c r="H905" s="1148" t="s">
        <v>933</v>
      </c>
      <c r="I905" s="1146"/>
      <c r="J905" s="1146"/>
      <c r="K905" s="1146"/>
      <c r="L905" s="671">
        <v>0</v>
      </c>
      <c r="M905" s="724"/>
    </row>
    <row r="906" spans="1:25">
      <c r="A906" s="1128" t="s">
        <v>512</v>
      </c>
      <c r="B906" s="1129"/>
      <c r="C906" s="1145" t="s">
        <v>934</v>
      </c>
      <c r="D906" s="1146"/>
      <c r="E906" s="1146"/>
      <c r="F906" s="1147"/>
      <c r="G906" s="1134"/>
      <c r="H906" s="1148" t="s">
        <v>1632</v>
      </c>
      <c r="I906" s="1146"/>
      <c r="J906" s="1146"/>
      <c r="K906" s="1146"/>
      <c r="L906" s="674">
        <f>L905*L945</f>
        <v>0</v>
      </c>
      <c r="M906" s="722"/>
    </row>
    <row r="907" spans="1:25" ht="15.6" thickBot="1">
      <c r="A907" s="1128" t="s">
        <v>510</v>
      </c>
      <c r="B907" s="978"/>
      <c r="C907" s="1145" t="s">
        <v>935</v>
      </c>
      <c r="D907" s="1146"/>
      <c r="E907" s="1146"/>
      <c r="F907" s="1133"/>
      <c r="G907" s="1134"/>
      <c r="H907" s="1148"/>
      <c r="I907" s="1146"/>
      <c r="J907" s="1146"/>
      <c r="K907" s="1146"/>
      <c r="L907" s="664"/>
      <c r="M907" s="723"/>
    </row>
    <row r="908" spans="1:25" ht="15" customHeight="1">
      <c r="A908" s="1128" t="s">
        <v>96</v>
      </c>
      <c r="B908" s="978"/>
      <c r="C908" s="246" t="s">
        <v>1620</v>
      </c>
      <c r="D908" s="665"/>
      <c r="E908" s="665"/>
      <c r="F908" s="665"/>
      <c r="G908" s="665"/>
      <c r="H908" s="665"/>
      <c r="I908" s="665"/>
      <c r="J908" s="665"/>
      <c r="K908" s="665"/>
      <c r="L908" s="676">
        <f>+'11 - Facilities'!N802</f>
        <v>0</v>
      </c>
      <c r="X908" s="8"/>
      <c r="Y908" s="637"/>
    </row>
    <row r="909" spans="1:25">
      <c r="A909" s="1128" t="s">
        <v>95</v>
      </c>
      <c r="B909" s="978"/>
      <c r="C909" s="234" t="s">
        <v>956</v>
      </c>
      <c r="D909" s="628"/>
      <c r="E909" s="628"/>
      <c r="F909" s="628"/>
      <c r="G909" s="663"/>
      <c r="H909" s="628"/>
      <c r="I909" s="628"/>
      <c r="J909" s="628"/>
      <c r="K909" s="628"/>
      <c r="L909" s="673">
        <f>Inputs!$D$112</f>
        <v>85279144.388324827</v>
      </c>
      <c r="X909" s="8"/>
      <c r="Y909" s="637"/>
    </row>
    <row r="910" spans="1:25">
      <c r="A910" s="1128" t="s">
        <v>93</v>
      </c>
      <c r="B910" s="978"/>
      <c r="C910" s="234" t="s">
        <v>957</v>
      </c>
      <c r="D910" s="628"/>
      <c r="E910" s="628"/>
      <c r="F910" s="628"/>
      <c r="G910" s="663"/>
      <c r="H910" s="628"/>
      <c r="I910" s="628"/>
      <c r="J910" s="628"/>
      <c r="K910" s="628"/>
      <c r="L910" s="673">
        <f>Inputs!$D$113</f>
        <v>35519691.656922147</v>
      </c>
      <c r="X910" s="8"/>
      <c r="Y910" s="637"/>
    </row>
    <row r="911" spans="1:25" ht="15" customHeight="1">
      <c r="A911" s="1128" t="s">
        <v>92</v>
      </c>
      <c r="B911" s="978"/>
      <c r="C911" s="661" t="s">
        <v>975</v>
      </c>
      <c r="D911" s="628"/>
      <c r="E911" s="628"/>
      <c r="F911" s="628"/>
      <c r="G911" s="663"/>
      <c r="H911" s="628"/>
      <c r="I911" s="628"/>
      <c r="J911" s="628"/>
      <c r="K911" s="628"/>
      <c r="L911" s="673">
        <f>L909-L910</f>
        <v>49759452.73140268</v>
      </c>
      <c r="X911" s="8"/>
      <c r="Y911" s="637"/>
    </row>
    <row r="912" spans="1:25">
      <c r="A912" s="1128" t="s">
        <v>107</v>
      </c>
      <c r="B912" s="978"/>
      <c r="C912" s="661" t="s">
        <v>976</v>
      </c>
      <c r="D912" s="628"/>
      <c r="E912" s="628"/>
      <c r="F912" s="628"/>
      <c r="G912" s="663"/>
      <c r="H912" s="628"/>
      <c r="I912" s="628"/>
      <c r="J912" s="628"/>
      <c r="K912" s="628"/>
      <c r="L912" s="677">
        <f>L908/L911</f>
        <v>0</v>
      </c>
      <c r="X912" s="8"/>
      <c r="Y912" s="637"/>
    </row>
    <row r="913" spans="1:25">
      <c r="A913" s="1128" t="s">
        <v>105</v>
      </c>
      <c r="B913" s="978"/>
      <c r="C913" s="661"/>
      <c r="D913" s="628"/>
      <c r="E913" s="628"/>
      <c r="F913" s="628"/>
      <c r="G913" s="663"/>
      <c r="H913" s="628"/>
      <c r="I913" s="628"/>
      <c r="J913" s="628"/>
      <c r="K913" s="628"/>
      <c r="L913" s="677"/>
      <c r="X913" s="8"/>
      <c r="Y913" s="637"/>
    </row>
    <row r="914" spans="1:25" ht="15.6">
      <c r="A914" s="1128" t="s">
        <v>104</v>
      </c>
      <c r="B914" s="978"/>
      <c r="C914" s="666" t="s">
        <v>967</v>
      </c>
      <c r="D914" s="628"/>
      <c r="E914" s="628"/>
      <c r="F914" s="628"/>
      <c r="G914" s="663"/>
      <c r="H914" s="628"/>
      <c r="I914" s="628"/>
      <c r="J914" s="628"/>
      <c r="K914" s="628"/>
      <c r="L914" s="677"/>
      <c r="X914" s="8"/>
      <c r="Y914" s="637"/>
    </row>
    <row r="915" spans="1:25">
      <c r="A915" s="1128" t="s">
        <v>103</v>
      </c>
      <c r="B915" s="978"/>
      <c r="C915" s="661" t="s">
        <v>1622</v>
      </c>
      <c r="D915" s="628"/>
      <c r="E915" s="628"/>
      <c r="F915" s="628"/>
      <c r="G915" s="663"/>
      <c r="H915" s="628"/>
      <c r="I915" s="628"/>
      <c r="J915" s="628"/>
      <c r="K915" s="628"/>
      <c r="L915" s="673">
        <f>+AppendixA!$H$48-AppendixA!$H$62</f>
        <v>701728.60760892951</v>
      </c>
      <c r="X915" s="8"/>
      <c r="Y915" s="637"/>
    </row>
    <row r="916" spans="1:25">
      <c r="A916" s="1128" t="s">
        <v>727</v>
      </c>
      <c r="B916" s="978"/>
      <c r="C916" s="661" t="s">
        <v>1623</v>
      </c>
      <c r="D916" s="628"/>
      <c r="E916" s="628"/>
      <c r="F916" s="628"/>
      <c r="G916" s="663"/>
      <c r="H916" s="628"/>
      <c r="I916" s="628"/>
      <c r="J916" s="628"/>
      <c r="K916" s="628"/>
      <c r="L916" s="673">
        <f>+L915*L912</f>
        <v>0</v>
      </c>
      <c r="X916" s="8"/>
      <c r="Y916" s="637"/>
    </row>
    <row r="917" spans="1:25">
      <c r="A917" s="1128" t="s">
        <v>728</v>
      </c>
      <c r="B917" s="978"/>
      <c r="C917" s="880"/>
      <c r="D917" s="628"/>
      <c r="E917" s="628"/>
      <c r="F917" s="628"/>
      <c r="G917" s="663"/>
      <c r="H917" s="628"/>
      <c r="I917" s="628"/>
      <c r="J917" s="628"/>
      <c r="K917" s="628"/>
      <c r="L917" s="890"/>
      <c r="X917" s="8"/>
      <c r="Y917" s="637"/>
    </row>
    <row r="918" spans="1:25" ht="15.6">
      <c r="A918" s="1128" t="s">
        <v>745</v>
      </c>
      <c r="B918" s="1132"/>
      <c r="C918" s="666" t="s">
        <v>1644</v>
      </c>
      <c r="D918" s="628"/>
      <c r="E918" s="628"/>
      <c r="F918" s="628"/>
      <c r="G918" s="663"/>
      <c r="H918" s="628"/>
      <c r="I918" s="628"/>
      <c r="J918" s="628"/>
      <c r="K918" s="628"/>
      <c r="L918" s="664"/>
      <c r="X918" s="8"/>
      <c r="Y918" s="637"/>
    </row>
    <row r="919" spans="1:25">
      <c r="A919" s="1128" t="s">
        <v>746</v>
      </c>
      <c r="B919" s="1132"/>
      <c r="C919" s="661" t="s">
        <v>958</v>
      </c>
      <c r="D919" s="628"/>
      <c r="E919" s="628"/>
      <c r="F919" s="628"/>
      <c r="G919" s="663"/>
      <c r="H919" s="628"/>
      <c r="I919" s="628"/>
      <c r="J919" s="628"/>
      <c r="K919" s="628"/>
      <c r="L919" s="673">
        <f>AppendixA!$H$95</f>
        <v>-5612988.9467919813</v>
      </c>
      <c r="X919" s="8"/>
      <c r="Y919" s="637"/>
    </row>
    <row r="920" spans="1:25">
      <c r="A920" s="1128" t="s">
        <v>747</v>
      </c>
      <c r="B920" s="1132"/>
      <c r="C920" s="661" t="s">
        <v>1655</v>
      </c>
      <c r="D920" s="628"/>
      <c r="E920" s="628"/>
      <c r="F920" s="628"/>
      <c r="G920" s="663"/>
      <c r="H920" s="628"/>
      <c r="I920" s="628"/>
      <c r="J920" s="628"/>
      <c r="K920" s="628"/>
      <c r="L920" s="673">
        <f>L919*L912</f>
        <v>0</v>
      </c>
      <c r="X920" s="8"/>
      <c r="Y920" s="637"/>
    </row>
    <row r="921" spans="1:25">
      <c r="A921" s="1128" t="s">
        <v>748</v>
      </c>
      <c r="B921" s="978"/>
      <c r="C921" s="661" t="s">
        <v>1656</v>
      </c>
      <c r="D921" s="628"/>
      <c r="E921" s="628"/>
      <c r="F921" s="628"/>
      <c r="G921" s="663"/>
      <c r="H921" s="628"/>
      <c r="I921" s="628"/>
      <c r="J921" s="628"/>
      <c r="K921" s="628"/>
      <c r="L921" s="673">
        <f>L908+L920+L916</f>
        <v>0</v>
      </c>
      <c r="X921" s="8"/>
      <c r="Y921" s="637"/>
    </row>
    <row r="922" spans="1:25">
      <c r="A922" s="1128" t="s">
        <v>749</v>
      </c>
      <c r="B922" s="978"/>
      <c r="C922" s="661" t="s">
        <v>959</v>
      </c>
      <c r="D922" s="628"/>
      <c r="E922" s="628"/>
      <c r="F922" s="628"/>
      <c r="G922" s="663"/>
      <c r="H922" s="628"/>
      <c r="I922" s="628"/>
      <c r="J922" s="628"/>
      <c r="K922" s="628"/>
      <c r="L922" s="677">
        <f>AppendixA!$H$182</f>
        <v>7.3603939048291073E-2</v>
      </c>
      <c r="X922" s="8"/>
      <c r="Y922" s="637"/>
    </row>
    <row r="923" spans="1:25">
      <c r="A923" s="1128" t="s">
        <v>750</v>
      </c>
      <c r="B923" s="978"/>
      <c r="C923" s="661" t="s">
        <v>1657</v>
      </c>
      <c r="D923" s="628"/>
      <c r="E923" s="628"/>
      <c r="F923" s="628"/>
      <c r="G923" s="663"/>
      <c r="H923" s="628"/>
      <c r="I923" s="628"/>
      <c r="J923" s="628"/>
      <c r="K923" s="628"/>
      <c r="L923" s="673">
        <f>L921*L922</f>
        <v>0</v>
      </c>
      <c r="X923" s="8"/>
      <c r="Y923" s="637"/>
    </row>
    <row r="924" spans="1:25">
      <c r="A924" s="878"/>
      <c r="B924" s="882" t="s">
        <v>751</v>
      </c>
      <c r="C924" s="661"/>
      <c r="D924" s="628"/>
      <c r="E924" s="628"/>
      <c r="F924" s="628"/>
      <c r="G924" s="663"/>
      <c r="H924" s="628"/>
      <c r="I924" s="628"/>
      <c r="J924" s="628"/>
      <c r="K924" s="628"/>
      <c r="L924" s="673"/>
      <c r="X924" s="8"/>
      <c r="Y924" s="637"/>
    </row>
    <row r="925" spans="1:25" ht="15.6">
      <c r="A925" s="1128" t="s">
        <v>936</v>
      </c>
      <c r="B925" s="978"/>
      <c r="C925" s="666" t="s">
        <v>1645</v>
      </c>
      <c r="D925" s="628"/>
      <c r="E925" s="628"/>
      <c r="F925" s="628"/>
      <c r="G925" s="663"/>
      <c r="H925" s="628"/>
      <c r="I925" s="628"/>
      <c r="J925" s="628"/>
      <c r="K925" s="628"/>
      <c r="L925" s="673"/>
      <c r="X925" s="8"/>
      <c r="Y925" s="637"/>
    </row>
    <row r="926" spans="1:25">
      <c r="A926" s="1128">
        <v>24</v>
      </c>
      <c r="B926" s="978"/>
      <c r="C926" s="661" t="s">
        <v>1647</v>
      </c>
      <c r="D926" s="628"/>
      <c r="E926" s="628"/>
      <c r="F926" s="628"/>
      <c r="G926" s="663"/>
      <c r="H926" s="628"/>
      <c r="I926" s="628"/>
      <c r="J926" s="628"/>
      <c r="K926" s="628"/>
      <c r="L926" s="673">
        <f>+AppendixA!$H$141</f>
        <v>62220.916888344676</v>
      </c>
      <c r="X926" s="8"/>
      <c r="Y926" s="637"/>
    </row>
    <row r="927" spans="1:25">
      <c r="A927" s="1128" t="s">
        <v>937</v>
      </c>
      <c r="B927" s="978"/>
      <c r="C927" s="885"/>
      <c r="D927" s="886"/>
      <c r="E927" s="886"/>
      <c r="F927" s="886"/>
      <c r="G927" s="887"/>
      <c r="H927" s="886"/>
      <c r="I927" s="886"/>
      <c r="J927" s="886"/>
      <c r="K927" s="886"/>
      <c r="L927" s="888"/>
      <c r="X927" s="8"/>
      <c r="Y927" s="637"/>
    </row>
    <row r="928" spans="1:25">
      <c r="A928" s="1128" t="s">
        <v>938</v>
      </c>
      <c r="B928" s="978"/>
      <c r="C928" s="661" t="s">
        <v>1646</v>
      </c>
      <c r="D928" s="628"/>
      <c r="E928" s="628"/>
      <c r="F928" s="628"/>
      <c r="G928" s="663"/>
      <c r="H928" s="628"/>
      <c r="I928" s="628"/>
      <c r="J928" s="628"/>
      <c r="K928" s="628"/>
      <c r="L928" s="673">
        <f>+L926*L912</f>
        <v>0</v>
      </c>
      <c r="X928" s="8"/>
      <c r="Y928" s="637"/>
    </row>
    <row r="929" spans="1:25">
      <c r="A929" s="1128" t="s">
        <v>939</v>
      </c>
      <c r="B929" s="978"/>
      <c r="C929" s="661"/>
      <c r="D929" s="628"/>
      <c r="E929" s="628"/>
      <c r="F929" s="628"/>
      <c r="G929" s="663"/>
      <c r="H929" s="628"/>
      <c r="I929" s="628"/>
      <c r="J929" s="628"/>
      <c r="K929" s="628"/>
      <c r="L929" s="664"/>
      <c r="X929" s="8"/>
      <c r="Y929" s="637"/>
    </row>
    <row r="930" spans="1:25" ht="15.6">
      <c r="A930" s="1128" t="s">
        <v>940</v>
      </c>
      <c r="B930" s="978"/>
      <c r="C930" s="666" t="s">
        <v>960</v>
      </c>
      <c r="D930" s="628"/>
      <c r="E930" s="628"/>
      <c r="F930" s="628"/>
      <c r="G930" s="663"/>
      <c r="H930" s="628"/>
      <c r="I930" s="628"/>
      <c r="J930" s="628"/>
      <c r="K930" s="628"/>
      <c r="L930" s="664"/>
      <c r="X930" s="8"/>
      <c r="Y930" s="637"/>
    </row>
    <row r="931" spans="1:25">
      <c r="A931" s="1128" t="s">
        <v>968</v>
      </c>
      <c r="B931" s="978"/>
      <c r="C931" s="661" t="s">
        <v>961</v>
      </c>
      <c r="D931" s="628"/>
      <c r="E931" s="628"/>
      <c r="F931" s="628"/>
      <c r="G931" s="663"/>
      <c r="H931" s="628"/>
      <c r="I931" s="628"/>
      <c r="J931" s="628"/>
      <c r="K931" s="628"/>
      <c r="L931" s="673">
        <f>AppendixA!$H$130</f>
        <v>1172367.8913758555</v>
      </c>
      <c r="X931" s="8"/>
      <c r="Y931" s="637"/>
    </row>
    <row r="932" spans="1:25">
      <c r="A932" s="1128" t="s">
        <v>969</v>
      </c>
      <c r="B932" s="978"/>
      <c r="C932" s="661" t="s">
        <v>1658</v>
      </c>
      <c r="D932" s="628"/>
      <c r="E932" s="628"/>
      <c r="F932" s="628"/>
      <c r="G932" s="663"/>
      <c r="H932" s="628"/>
      <c r="I932" s="628"/>
      <c r="J932" s="628"/>
      <c r="K932" s="628"/>
      <c r="L932" s="673">
        <f>L912*L931</f>
        <v>0</v>
      </c>
      <c r="X932" s="8"/>
      <c r="Y932" s="637"/>
    </row>
    <row r="933" spans="1:25">
      <c r="A933" s="1128" t="s">
        <v>970</v>
      </c>
      <c r="B933" s="978"/>
      <c r="C933" s="661"/>
      <c r="D933" s="628"/>
      <c r="E933" s="628"/>
      <c r="F933" s="628"/>
      <c r="G933" s="663"/>
      <c r="H933" s="628"/>
      <c r="I933" s="628"/>
      <c r="J933" s="628"/>
      <c r="K933" s="628"/>
      <c r="L933" s="664"/>
      <c r="X933" s="8"/>
      <c r="Y933" s="637"/>
    </row>
    <row r="934" spans="1:25" ht="15.6">
      <c r="A934" s="1128" t="s">
        <v>971</v>
      </c>
      <c r="B934" s="978"/>
      <c r="C934" s="666" t="s">
        <v>1621</v>
      </c>
      <c r="D934" s="628"/>
      <c r="E934" s="628"/>
      <c r="F934" s="628"/>
      <c r="G934" s="663"/>
      <c r="H934" s="628"/>
      <c r="I934" s="628"/>
      <c r="J934" s="628"/>
      <c r="K934" s="628"/>
      <c r="L934" s="664"/>
      <c r="X934" s="8"/>
      <c r="Y934" s="637"/>
    </row>
    <row r="935" spans="1:25">
      <c r="A935" s="1128" t="s">
        <v>1633</v>
      </c>
      <c r="B935" s="978"/>
      <c r="C935" s="661" t="s">
        <v>1648</v>
      </c>
      <c r="D935" s="628"/>
      <c r="E935" s="628"/>
      <c r="F935" s="628"/>
      <c r="G935" s="663"/>
      <c r="H935" s="628"/>
      <c r="I935" s="628"/>
      <c r="J935" s="628"/>
      <c r="K935" s="628"/>
      <c r="L935" s="675">
        <f>+'11 - Facilities'!O802</f>
        <v>0</v>
      </c>
      <c r="X935" s="8"/>
      <c r="Y935" s="637"/>
    </row>
    <row r="936" spans="1:25">
      <c r="A936" s="1128" t="s">
        <v>1624</v>
      </c>
      <c r="B936" s="978"/>
      <c r="C936" s="661"/>
      <c r="D936" s="628"/>
      <c r="E936" s="628"/>
      <c r="F936" s="628"/>
      <c r="G936" s="663"/>
      <c r="H936" s="628"/>
      <c r="I936" s="628"/>
      <c r="J936" s="628"/>
      <c r="K936" s="628"/>
      <c r="L936" s="673"/>
      <c r="X936" s="8"/>
      <c r="Y936" s="637"/>
    </row>
    <row r="937" spans="1:25" ht="15.6">
      <c r="A937" s="1128" t="s">
        <v>1625</v>
      </c>
      <c r="B937" s="1132"/>
      <c r="C937" s="666" t="s">
        <v>962</v>
      </c>
      <c r="D937" s="628"/>
      <c r="E937" s="628"/>
      <c r="F937" s="628"/>
      <c r="G937" s="663"/>
      <c r="H937" s="628"/>
      <c r="I937" s="628"/>
      <c r="J937" s="628"/>
      <c r="K937" s="628"/>
      <c r="L937" s="673"/>
      <c r="X937" s="8"/>
      <c r="Y937" s="637"/>
    </row>
    <row r="938" spans="1:25">
      <c r="A938" s="1128" t="s">
        <v>1634</v>
      </c>
      <c r="B938" s="978"/>
      <c r="C938" s="661" t="s">
        <v>963</v>
      </c>
      <c r="D938" s="628"/>
      <c r="E938" s="628"/>
      <c r="F938" s="628"/>
      <c r="G938" s="663"/>
      <c r="H938" s="628"/>
      <c r="I938" s="628"/>
      <c r="J938" s="628"/>
      <c r="K938" s="628"/>
      <c r="L938" s="673">
        <f>AppendixA!$H$149</f>
        <v>420701.86116179236</v>
      </c>
      <c r="X938" s="8"/>
      <c r="Y938" s="637"/>
    </row>
    <row r="939" spans="1:25">
      <c r="A939" s="1128" t="s">
        <v>1635</v>
      </c>
      <c r="B939" s="978"/>
      <c r="C939" s="661" t="s">
        <v>1649</v>
      </c>
      <c r="D939" s="628"/>
      <c r="E939" s="628"/>
      <c r="F939" s="628"/>
      <c r="G939" s="663"/>
      <c r="H939" s="883"/>
      <c r="I939" s="628"/>
      <c r="J939" s="628"/>
      <c r="K939" s="628"/>
      <c r="L939" s="673">
        <f>L912*L938</f>
        <v>0</v>
      </c>
      <c r="X939" s="8"/>
      <c r="Y939" s="637"/>
    </row>
    <row r="940" spans="1:25">
      <c r="A940" s="1128" t="s">
        <v>1626</v>
      </c>
      <c r="B940" s="978"/>
      <c r="C940" s="661"/>
      <c r="D940" s="628"/>
      <c r="E940" s="628"/>
      <c r="F940" s="628"/>
      <c r="G940" s="663"/>
      <c r="H940" s="628"/>
      <c r="I940" s="628"/>
      <c r="J940" s="628"/>
      <c r="K940" s="628"/>
      <c r="L940" s="673"/>
      <c r="X940" s="8"/>
      <c r="Y940" s="637"/>
    </row>
    <row r="941" spans="1:25" ht="15.6">
      <c r="A941" s="1128" t="s">
        <v>1627</v>
      </c>
      <c r="B941" s="1132"/>
      <c r="C941" s="666" t="s">
        <v>964</v>
      </c>
      <c r="D941" s="628"/>
      <c r="E941" s="628"/>
      <c r="F941" s="628"/>
      <c r="G941" s="663"/>
      <c r="H941" s="628"/>
      <c r="I941" s="628"/>
      <c r="J941" s="628"/>
      <c r="K941" s="628"/>
      <c r="L941" s="673"/>
      <c r="X941" s="8"/>
      <c r="Y941" s="637"/>
    </row>
    <row r="942" spans="1:25">
      <c r="A942" s="1128" t="s">
        <v>1636</v>
      </c>
      <c r="B942" s="978"/>
      <c r="C942" s="661" t="s">
        <v>965</v>
      </c>
      <c r="D942" s="628"/>
      <c r="E942" s="628"/>
      <c r="F942" s="628"/>
      <c r="G942" s="663"/>
      <c r="H942" s="628"/>
      <c r="I942" s="628"/>
      <c r="J942" s="628"/>
      <c r="K942" s="628"/>
      <c r="L942" s="673">
        <f>AppendixA!$H$228</f>
        <v>524818.20552830724</v>
      </c>
      <c r="X942" s="8"/>
      <c r="Y942" s="637"/>
    </row>
    <row r="943" spans="1:25">
      <c r="A943" s="1128" t="s">
        <v>1637</v>
      </c>
      <c r="B943" s="978"/>
      <c r="C943" s="661" t="s">
        <v>1650</v>
      </c>
      <c r="D943" s="628"/>
      <c r="E943" s="628"/>
      <c r="F943" s="628"/>
      <c r="G943" s="663"/>
      <c r="H943" s="628"/>
      <c r="I943" s="628"/>
      <c r="J943" s="628"/>
      <c r="K943" s="628"/>
      <c r="L943" s="673">
        <f>L912*L942</f>
        <v>0</v>
      </c>
      <c r="X943" s="8"/>
      <c r="Y943" s="637"/>
    </row>
    <row r="944" spans="1:25">
      <c r="A944" s="1128" t="s">
        <v>1628</v>
      </c>
      <c r="B944" s="1132"/>
      <c r="C944" s="661"/>
      <c r="D944" s="628"/>
      <c r="E944" s="628"/>
      <c r="F944" s="628"/>
      <c r="G944" s="663"/>
      <c r="H944" s="628"/>
      <c r="I944" s="628"/>
      <c r="J944" s="628"/>
      <c r="K944" s="628"/>
      <c r="L944" s="673"/>
      <c r="X944" s="8"/>
      <c r="Y944" s="637"/>
    </row>
    <row r="945" spans="1:25" ht="15.6">
      <c r="A945" s="1128" t="s">
        <v>1638</v>
      </c>
      <c r="B945" s="978"/>
      <c r="C945" s="666" t="s">
        <v>1651</v>
      </c>
      <c r="D945" s="883"/>
      <c r="E945" s="883"/>
      <c r="F945" s="889"/>
      <c r="G945" s="884"/>
      <c r="H945" s="883"/>
      <c r="I945" s="883"/>
      <c r="J945" s="883"/>
      <c r="K945" s="628"/>
      <c r="L945" s="673">
        <f>L923+L932+L935+L939+L943+L928</f>
        <v>0</v>
      </c>
      <c r="X945" s="8"/>
      <c r="Y945" s="637"/>
    </row>
    <row r="946" spans="1:25" ht="15.6">
      <c r="A946" s="1128" t="s">
        <v>1629</v>
      </c>
      <c r="B946" s="1132"/>
      <c r="C946" s="666"/>
      <c r="D946" s="628"/>
      <c r="E946" s="628"/>
      <c r="F946" s="662"/>
      <c r="G946" s="663"/>
      <c r="H946" s="628"/>
      <c r="I946" s="628"/>
      <c r="J946" s="628"/>
      <c r="K946" s="628"/>
      <c r="L946" s="664"/>
      <c r="X946" s="8"/>
      <c r="Y946" s="637"/>
    </row>
    <row r="947" spans="1:25">
      <c r="A947" s="1128" t="s">
        <v>1639</v>
      </c>
      <c r="B947" s="978"/>
      <c r="C947" s="661" t="s">
        <v>928</v>
      </c>
      <c r="D947" s="628"/>
      <c r="E947" s="628"/>
      <c r="F947" s="662"/>
      <c r="G947" s="663"/>
      <c r="H947" s="628"/>
      <c r="I947" s="628"/>
      <c r="J947" s="628"/>
      <c r="K947" s="628"/>
      <c r="L947" s="682">
        <f>AppendixA!$H$212</f>
        <v>0.2658227848101265</v>
      </c>
      <c r="X947" s="8"/>
      <c r="Y947" s="637"/>
    </row>
    <row r="948" spans="1:25">
      <c r="A948" s="1128" t="s">
        <v>1640</v>
      </c>
      <c r="B948" s="978"/>
      <c r="C948" s="661" t="s">
        <v>929</v>
      </c>
      <c r="D948" s="628"/>
      <c r="E948" s="628"/>
      <c r="F948" s="662"/>
      <c r="G948" s="663"/>
      <c r="H948" s="628"/>
      <c r="I948" s="628"/>
      <c r="J948" s="628"/>
      <c r="K948" s="628"/>
      <c r="L948" s="677">
        <f>'6-WACC'!$G$16</f>
        <v>0.50515815125064667</v>
      </c>
      <c r="X948" s="8"/>
      <c r="Y948" s="637"/>
    </row>
    <row r="949" spans="1:25">
      <c r="A949" s="1128" t="s">
        <v>1641</v>
      </c>
      <c r="B949" s="978"/>
      <c r="C949" s="661" t="s">
        <v>1659</v>
      </c>
      <c r="D949" s="628"/>
      <c r="E949" s="628"/>
      <c r="F949" s="662"/>
      <c r="G949" s="663"/>
      <c r="H949" s="628"/>
      <c r="I949" s="628"/>
      <c r="J949" s="628"/>
      <c r="K949" s="628"/>
      <c r="L949" s="677">
        <f>((0.01/L947)*L948*100)</f>
        <v>1.9003568547048142</v>
      </c>
      <c r="X949" s="8"/>
      <c r="Y949" s="637"/>
    </row>
    <row r="950" spans="1:25">
      <c r="A950" s="1128" t="s">
        <v>1642</v>
      </c>
      <c r="B950" s="978"/>
      <c r="C950" s="661" t="s">
        <v>1660</v>
      </c>
      <c r="D950" s="628"/>
      <c r="E950" s="628"/>
      <c r="F950" s="662"/>
      <c r="G950" s="663"/>
      <c r="H950" s="628"/>
      <c r="I950" s="628"/>
      <c r="J950" s="628"/>
      <c r="K950" s="628"/>
      <c r="L950" s="673">
        <f>L906*L921</f>
        <v>0</v>
      </c>
      <c r="X950" s="8"/>
      <c r="Y950" s="637"/>
    </row>
    <row r="951" spans="1:25" ht="15.6">
      <c r="A951" s="1128" t="s">
        <v>1630</v>
      </c>
      <c r="B951" s="1132"/>
      <c r="C951" s="666"/>
      <c r="D951" s="628"/>
      <c r="E951" s="628"/>
      <c r="F951" s="662"/>
      <c r="G951" s="663"/>
      <c r="H951" s="628"/>
      <c r="I951" s="628"/>
      <c r="J951" s="628"/>
      <c r="K951" s="628"/>
      <c r="L951" s="673"/>
      <c r="X951" s="8"/>
      <c r="Y951" s="637"/>
    </row>
    <row r="952" spans="1:25" ht="15.6">
      <c r="A952" s="1128" t="s">
        <v>1643</v>
      </c>
      <c r="B952" s="978"/>
      <c r="C952" s="666" t="s">
        <v>1661</v>
      </c>
      <c r="D952" s="628"/>
      <c r="E952" s="628"/>
      <c r="F952" s="662"/>
      <c r="G952" s="663"/>
      <c r="H952" s="628"/>
      <c r="I952" s="628"/>
      <c r="J952" s="628"/>
      <c r="K952" s="628"/>
      <c r="L952" s="673">
        <f>L945+L950</f>
        <v>0</v>
      </c>
      <c r="X952" s="8"/>
      <c r="Y952" s="637"/>
    </row>
    <row r="953" spans="1:25" ht="15.6" thickBot="1">
      <c r="A953" s="1128"/>
      <c r="B953" s="1132"/>
      <c r="C953" s="667"/>
      <c r="D953" s="668"/>
      <c r="E953" s="668"/>
      <c r="F953" s="669"/>
      <c r="G953" s="670"/>
      <c r="H953" s="668"/>
      <c r="I953" s="668"/>
      <c r="J953" s="668"/>
      <c r="K953" s="668"/>
      <c r="L953" s="678"/>
      <c r="X953" s="8"/>
      <c r="Y953" s="637"/>
    </row>
    <row r="954" spans="1:25">
      <c r="A954" s="672"/>
      <c r="B954" s="672"/>
      <c r="C954" s="642"/>
      <c r="D954" s="628"/>
      <c r="E954" s="641"/>
      <c r="F954" s="628"/>
      <c r="G954" s="641"/>
      <c r="H954" s="628"/>
      <c r="I954" s="638"/>
      <c r="J954" s="638"/>
      <c r="K954" s="639"/>
      <c r="L954" s="638"/>
      <c r="W954" s="222"/>
      <c r="X954" s="222"/>
      <c r="Y954" s="222"/>
    </row>
    <row r="955" spans="1:25">
      <c r="A955" s="8" t="s">
        <v>941</v>
      </c>
      <c r="B955" s="8"/>
      <c r="C955" s="8"/>
      <c r="D955" s="8"/>
      <c r="E955" s="8"/>
      <c r="F955" s="8"/>
      <c r="G955" s="8"/>
      <c r="H955" s="8"/>
      <c r="I955" s="8"/>
      <c r="J955" s="8"/>
      <c r="K955" s="8"/>
      <c r="L955" s="8"/>
      <c r="M955" s="8"/>
      <c r="N955" s="640"/>
      <c r="O955" s="10"/>
      <c r="P955" s="222"/>
      <c r="Q955" s="222"/>
      <c r="R955" s="222"/>
      <c r="S955" s="222"/>
      <c r="T955" s="222"/>
      <c r="U955" s="10"/>
      <c r="V955" s="222"/>
      <c r="W955" s="222"/>
      <c r="X955" s="222"/>
      <c r="Y955" s="222"/>
    </row>
    <row r="956" spans="1:25">
      <c r="B956" s="10" t="s">
        <v>441</v>
      </c>
      <c r="C956" s="628"/>
      <c r="D956" s="628"/>
      <c r="E956" s="628"/>
      <c r="F956" s="628"/>
      <c r="G956" s="628"/>
      <c r="H956" s="628"/>
      <c r="I956" s="628"/>
      <c r="J956" s="628"/>
      <c r="K956" s="628"/>
      <c r="L956" s="628"/>
      <c r="M956" s="628"/>
      <c r="N956" s="640"/>
      <c r="O956" s="10"/>
      <c r="P956" s="222"/>
      <c r="Q956" s="222"/>
      <c r="R956" s="222"/>
      <c r="S956" s="222"/>
      <c r="T956" s="222"/>
      <c r="U956" s="10"/>
      <c r="V956" s="222"/>
      <c r="W956" s="222"/>
      <c r="X956" s="222"/>
      <c r="Y956" s="222"/>
    </row>
    <row r="957" spans="1:25">
      <c r="C957" s="628"/>
      <c r="D957" s="628"/>
      <c r="E957" s="628"/>
      <c r="F957" s="628"/>
      <c r="G957" s="10"/>
      <c r="H957" s="628"/>
      <c r="I957" s="628"/>
      <c r="J957" s="10" t="s">
        <v>917</v>
      </c>
      <c r="K957" s="628"/>
      <c r="L957" s="628"/>
      <c r="M957" s="628"/>
    </row>
    <row r="958" spans="1:25">
      <c r="C958" s="628"/>
      <c r="D958" s="628"/>
      <c r="E958" s="628"/>
      <c r="F958" s="628"/>
      <c r="G958" s="10"/>
      <c r="H958" s="628"/>
      <c r="I958" s="628"/>
      <c r="J958" s="647" t="s">
        <v>953</v>
      </c>
      <c r="K958" s="628"/>
      <c r="L958" s="628"/>
      <c r="M958" s="628"/>
    </row>
  </sheetData>
  <mergeCells count="971">
    <mergeCell ref="A882:B882"/>
    <mergeCell ref="A883:B883"/>
    <mergeCell ref="A884:B884"/>
    <mergeCell ref="A920:B920"/>
    <mergeCell ref="A950:B950"/>
    <mergeCell ref="A951:B951"/>
    <mergeCell ref="A952:B952"/>
    <mergeCell ref="A953:B953"/>
    <mergeCell ref="A745:B745"/>
    <mergeCell ref="A746:B746"/>
    <mergeCell ref="A782:B782"/>
    <mergeCell ref="A812:B812"/>
    <mergeCell ref="A813:B813"/>
    <mergeCell ref="A814:B814"/>
    <mergeCell ref="A815:B815"/>
    <mergeCell ref="A851:B851"/>
    <mergeCell ref="A881:B881"/>
    <mergeCell ref="A933:B933"/>
    <mergeCell ref="A934:B934"/>
    <mergeCell ref="A935:B935"/>
    <mergeCell ref="A917:B917"/>
    <mergeCell ref="A918:B918"/>
    <mergeCell ref="A919:B919"/>
    <mergeCell ref="A921:B921"/>
    <mergeCell ref="A677:B677"/>
    <mergeCell ref="A713:B713"/>
    <mergeCell ref="A743:B743"/>
    <mergeCell ref="A744:B744"/>
    <mergeCell ref="A647:B647"/>
    <mergeCell ref="A649:B649"/>
    <mergeCell ref="A650:B650"/>
    <mergeCell ref="A651:B651"/>
    <mergeCell ref="A652:B652"/>
    <mergeCell ref="A653:B653"/>
    <mergeCell ref="A686:F686"/>
    <mergeCell ref="C695:D695"/>
    <mergeCell ref="E695:L695"/>
    <mergeCell ref="A693:B693"/>
    <mergeCell ref="A694:B694"/>
    <mergeCell ref="A695:B695"/>
    <mergeCell ref="A669:B669"/>
    <mergeCell ref="A672:B672"/>
    <mergeCell ref="A673:B673"/>
    <mergeCell ref="A728:B728"/>
    <mergeCell ref="A718:B718"/>
    <mergeCell ref="A719:B719"/>
    <mergeCell ref="A720:B720"/>
    <mergeCell ref="A709:B709"/>
    <mergeCell ref="A600:B600"/>
    <mergeCell ref="A601:B601"/>
    <mergeCell ref="A604:B604"/>
    <mergeCell ref="A608:B608"/>
    <mergeCell ref="A644:B644"/>
    <mergeCell ref="A674:B674"/>
    <mergeCell ref="A675:B675"/>
    <mergeCell ref="A676:B676"/>
    <mergeCell ref="A630:B630"/>
    <mergeCell ref="A631:B631"/>
    <mergeCell ref="A632:B632"/>
    <mergeCell ref="A643:B643"/>
    <mergeCell ref="A645:B645"/>
    <mergeCell ref="A646:B646"/>
    <mergeCell ref="A633:B633"/>
    <mergeCell ref="A634:B634"/>
    <mergeCell ref="A635:B635"/>
    <mergeCell ref="A927:B927"/>
    <mergeCell ref="A928:B928"/>
    <mergeCell ref="A929:B929"/>
    <mergeCell ref="A930:B930"/>
    <mergeCell ref="A931:B931"/>
    <mergeCell ref="A932:B932"/>
    <mergeCell ref="A425:B425"/>
    <mergeCell ref="A455:B455"/>
    <mergeCell ref="A456:B456"/>
    <mergeCell ref="A457:B457"/>
    <mergeCell ref="A437:B437"/>
    <mergeCell ref="A449:B449"/>
    <mergeCell ref="A450:B450"/>
    <mergeCell ref="A451:B451"/>
    <mergeCell ref="A439:B439"/>
    <mergeCell ref="A440:B440"/>
    <mergeCell ref="A435:B435"/>
    <mergeCell ref="A436:B436"/>
    <mergeCell ref="A432:B432"/>
    <mergeCell ref="A506:B506"/>
    <mergeCell ref="A536:B536"/>
    <mergeCell ref="A537:B537"/>
    <mergeCell ref="A538:B538"/>
    <mergeCell ref="A539:B539"/>
    <mergeCell ref="A945:B945"/>
    <mergeCell ref="A946:B946"/>
    <mergeCell ref="A947:B947"/>
    <mergeCell ref="A948:B948"/>
    <mergeCell ref="A949:B949"/>
    <mergeCell ref="A936:B936"/>
    <mergeCell ref="A937:B937"/>
    <mergeCell ref="A938:B938"/>
    <mergeCell ref="A939:B939"/>
    <mergeCell ref="A940:B940"/>
    <mergeCell ref="A941:B941"/>
    <mergeCell ref="A942:B942"/>
    <mergeCell ref="A943:B943"/>
    <mergeCell ref="A944:B944"/>
    <mergeCell ref="A922:B922"/>
    <mergeCell ref="A923:B923"/>
    <mergeCell ref="A925:B925"/>
    <mergeCell ref="A926:B926"/>
    <mergeCell ref="A908:B908"/>
    <mergeCell ref="A909:B909"/>
    <mergeCell ref="A910:B910"/>
    <mergeCell ref="A911:B911"/>
    <mergeCell ref="A912:B912"/>
    <mergeCell ref="A913:B913"/>
    <mergeCell ref="A914:B914"/>
    <mergeCell ref="A915:B915"/>
    <mergeCell ref="A916:B916"/>
    <mergeCell ref="A905:B905"/>
    <mergeCell ref="C905:E905"/>
    <mergeCell ref="F905:G905"/>
    <mergeCell ref="H905:K905"/>
    <mergeCell ref="A906:B906"/>
    <mergeCell ref="C906:E906"/>
    <mergeCell ref="F906:G906"/>
    <mergeCell ref="H906:K906"/>
    <mergeCell ref="A907:B907"/>
    <mergeCell ref="C907:E907"/>
    <mergeCell ref="F907:G907"/>
    <mergeCell ref="H907:K907"/>
    <mergeCell ref="A893:F893"/>
    <mergeCell ref="A900:B900"/>
    <mergeCell ref="A901:B901"/>
    <mergeCell ref="A902:B902"/>
    <mergeCell ref="C902:D902"/>
    <mergeCell ref="E902:L902"/>
    <mergeCell ref="A903:B903"/>
    <mergeCell ref="F903:G903"/>
    <mergeCell ref="A904:B904"/>
    <mergeCell ref="C904:E904"/>
    <mergeCell ref="F904:G904"/>
    <mergeCell ref="H904:K904"/>
    <mergeCell ref="A842:B842"/>
    <mergeCell ref="A843:B843"/>
    <mergeCell ref="A844:B844"/>
    <mergeCell ref="A845:B845"/>
    <mergeCell ref="A864:B864"/>
    <mergeCell ref="A865:B865"/>
    <mergeCell ref="A861:B861"/>
    <mergeCell ref="A862:B862"/>
    <mergeCell ref="A856:B856"/>
    <mergeCell ref="A860:B860"/>
    <mergeCell ref="A857:B857"/>
    <mergeCell ref="A858:B858"/>
    <mergeCell ref="A846:B846"/>
    <mergeCell ref="A847:B847"/>
    <mergeCell ref="A854:B854"/>
    <mergeCell ref="A848:B848"/>
    <mergeCell ref="A849:B849"/>
    <mergeCell ref="A850:B850"/>
    <mergeCell ref="A852:B852"/>
    <mergeCell ref="A853:B853"/>
    <mergeCell ref="A863:B863"/>
    <mergeCell ref="A859:B859"/>
    <mergeCell ref="A793:B793"/>
    <mergeCell ref="A794:B794"/>
    <mergeCell ref="A795:B795"/>
    <mergeCell ref="A796:B796"/>
    <mergeCell ref="A797:B797"/>
    <mergeCell ref="A798:B798"/>
    <mergeCell ref="A799:B799"/>
    <mergeCell ref="A806:B806"/>
    <mergeCell ref="A807:B807"/>
    <mergeCell ref="A800:B800"/>
    <mergeCell ref="A801:B801"/>
    <mergeCell ref="A802:B802"/>
    <mergeCell ref="A803:B803"/>
    <mergeCell ref="A804:B804"/>
    <mergeCell ref="A805:B805"/>
    <mergeCell ref="A775:B775"/>
    <mergeCell ref="A776:B776"/>
    <mergeCell ref="A777:B777"/>
    <mergeCell ref="A778:B778"/>
    <mergeCell ref="A779:B779"/>
    <mergeCell ref="A780:B780"/>
    <mergeCell ref="A781:B781"/>
    <mergeCell ref="A791:B791"/>
    <mergeCell ref="A792:B792"/>
    <mergeCell ref="A785:B785"/>
    <mergeCell ref="A787:B787"/>
    <mergeCell ref="A788:B788"/>
    <mergeCell ref="A789:B789"/>
    <mergeCell ref="A790:B790"/>
    <mergeCell ref="A783:B783"/>
    <mergeCell ref="A784:B784"/>
    <mergeCell ref="A769:B769"/>
    <mergeCell ref="C769:E769"/>
    <mergeCell ref="F769:G769"/>
    <mergeCell ref="H769:K769"/>
    <mergeCell ref="A770:B770"/>
    <mergeCell ref="A771:B771"/>
    <mergeCell ref="A772:B772"/>
    <mergeCell ref="A773:B773"/>
    <mergeCell ref="A774:B774"/>
    <mergeCell ref="A710:B710"/>
    <mergeCell ref="A711:B711"/>
    <mergeCell ref="A716:B716"/>
    <mergeCell ref="A725:B725"/>
    <mergeCell ref="A755:F755"/>
    <mergeCell ref="C764:D764"/>
    <mergeCell ref="E764:L764"/>
    <mergeCell ref="A762:B762"/>
    <mergeCell ref="A763:B763"/>
    <mergeCell ref="A764:B764"/>
    <mergeCell ref="A737:B737"/>
    <mergeCell ref="A738:B738"/>
    <mergeCell ref="A739:B739"/>
    <mergeCell ref="A740:B740"/>
    <mergeCell ref="A741:B741"/>
    <mergeCell ref="A742:B742"/>
    <mergeCell ref="A726:B726"/>
    <mergeCell ref="A734:B734"/>
    <mergeCell ref="A730:B730"/>
    <mergeCell ref="A731:B731"/>
    <mergeCell ref="A727:B727"/>
    <mergeCell ref="A712:B712"/>
    <mergeCell ref="A714:B714"/>
    <mergeCell ref="A715:B715"/>
    <mergeCell ref="C698:E698"/>
    <mergeCell ref="F698:G698"/>
    <mergeCell ref="H698:K698"/>
    <mergeCell ref="C699:E699"/>
    <mergeCell ref="F699:G699"/>
    <mergeCell ref="H699:K699"/>
    <mergeCell ref="C700:E700"/>
    <mergeCell ref="F700:G700"/>
    <mergeCell ref="H700:K700"/>
    <mergeCell ref="C630:E630"/>
    <mergeCell ref="F630:G630"/>
    <mergeCell ref="H630:K630"/>
    <mergeCell ref="C631:E631"/>
    <mergeCell ref="F631:G631"/>
    <mergeCell ref="H631:K631"/>
    <mergeCell ref="F696:G696"/>
    <mergeCell ref="C697:E697"/>
    <mergeCell ref="F697:G697"/>
    <mergeCell ref="H697:K697"/>
    <mergeCell ref="C626:D626"/>
    <mergeCell ref="E626:L626"/>
    <mergeCell ref="F627:G627"/>
    <mergeCell ref="C628:E628"/>
    <mergeCell ref="F628:G628"/>
    <mergeCell ref="H628:K628"/>
    <mergeCell ref="A627:B627"/>
    <mergeCell ref="A628:B628"/>
    <mergeCell ref="C629:E629"/>
    <mergeCell ref="F629:G629"/>
    <mergeCell ref="H629:K629"/>
    <mergeCell ref="A524:B524"/>
    <mergeCell ref="A525:B525"/>
    <mergeCell ref="A511:B511"/>
    <mergeCell ref="A512:B512"/>
    <mergeCell ref="A513:B513"/>
    <mergeCell ref="A514:B514"/>
    <mergeCell ref="A517:B517"/>
    <mergeCell ref="A617:F617"/>
    <mergeCell ref="A605:B605"/>
    <mergeCell ref="A606:B606"/>
    <mergeCell ref="A607:B607"/>
    <mergeCell ref="A589:B589"/>
    <mergeCell ref="A593:B593"/>
    <mergeCell ref="A594:B594"/>
    <mergeCell ref="A595:B595"/>
    <mergeCell ref="A596:B596"/>
    <mergeCell ref="A597:B597"/>
    <mergeCell ref="A598:B598"/>
    <mergeCell ref="A590:B590"/>
    <mergeCell ref="A591:B591"/>
    <mergeCell ref="A592:B592"/>
    <mergeCell ref="A602:B602"/>
    <mergeCell ref="A603:B603"/>
    <mergeCell ref="A599:B599"/>
    <mergeCell ref="A503:B503"/>
    <mergeCell ref="A504:B504"/>
    <mergeCell ref="A563:B563"/>
    <mergeCell ref="A564:B564"/>
    <mergeCell ref="A565:B565"/>
    <mergeCell ref="A526:B526"/>
    <mergeCell ref="A527:B527"/>
    <mergeCell ref="A528:B528"/>
    <mergeCell ref="A505:B505"/>
    <mergeCell ref="A507:B507"/>
    <mergeCell ref="A508:B508"/>
    <mergeCell ref="A509:B509"/>
    <mergeCell ref="A556:B556"/>
    <mergeCell ref="A557:B557"/>
    <mergeCell ref="A558:B558"/>
    <mergeCell ref="A559:B559"/>
    <mergeCell ref="A560:B560"/>
    <mergeCell ref="A561:B561"/>
    <mergeCell ref="A562:B562"/>
    <mergeCell ref="A518:B518"/>
    <mergeCell ref="A519:B519"/>
    <mergeCell ref="A520:B520"/>
    <mergeCell ref="A521:B521"/>
    <mergeCell ref="A515:B515"/>
    <mergeCell ref="F491:G491"/>
    <mergeCell ref="H491:K491"/>
    <mergeCell ref="C492:E492"/>
    <mergeCell ref="F492:G492"/>
    <mergeCell ref="H492:K492"/>
    <mergeCell ref="C493:E493"/>
    <mergeCell ref="F493:G493"/>
    <mergeCell ref="H493:K493"/>
    <mergeCell ref="A499:B499"/>
    <mergeCell ref="A496:B496"/>
    <mergeCell ref="A497:B497"/>
    <mergeCell ref="A498:B498"/>
    <mergeCell ref="A491:B491"/>
    <mergeCell ref="A492:B492"/>
    <mergeCell ref="A493:B493"/>
    <mergeCell ref="A494:B494"/>
    <mergeCell ref="A495:B495"/>
    <mergeCell ref="C491:E491"/>
    <mergeCell ref="F489:G489"/>
    <mergeCell ref="A465:B465"/>
    <mergeCell ref="A466:B466"/>
    <mergeCell ref="A462:B462"/>
    <mergeCell ref="A463:B463"/>
    <mergeCell ref="A464:B464"/>
    <mergeCell ref="B476:O476"/>
    <mergeCell ref="B477:O477"/>
    <mergeCell ref="C490:E490"/>
    <mergeCell ref="F490:G490"/>
    <mergeCell ref="H490:K490"/>
    <mergeCell ref="A490:B490"/>
    <mergeCell ref="A486:B486"/>
    <mergeCell ref="A487:B487"/>
    <mergeCell ref="A488:B488"/>
    <mergeCell ref="A489:B489"/>
    <mergeCell ref="A467:B467"/>
    <mergeCell ref="A468:B468"/>
    <mergeCell ref="A469:B469"/>
    <mergeCell ref="A470:B470"/>
    <mergeCell ref="A839:B839"/>
    <mergeCell ref="A840:B840"/>
    <mergeCell ref="A150:B150"/>
    <mergeCell ref="A151:B151"/>
    <mergeCell ref="A152:B152"/>
    <mergeCell ref="A153:B153"/>
    <mergeCell ref="A160:B160"/>
    <mergeCell ref="A161:B161"/>
    <mergeCell ref="A191:B191"/>
    <mergeCell ref="A193:B193"/>
    <mergeCell ref="A180:B180"/>
    <mergeCell ref="A181:B181"/>
    <mergeCell ref="A183:B183"/>
    <mergeCell ref="A184:B184"/>
    <mergeCell ref="A186:B186"/>
    <mergeCell ref="A188:B188"/>
    <mergeCell ref="A173:B173"/>
    <mergeCell ref="A174:B174"/>
    <mergeCell ref="A175:B175"/>
    <mergeCell ref="A500:B500"/>
    <mergeCell ref="A501:B501"/>
    <mergeCell ref="A588:B588"/>
    <mergeCell ref="A580:B580"/>
    <mergeCell ref="A581:B581"/>
    <mergeCell ref="A189:B189"/>
    <mergeCell ref="A433:B433"/>
    <mergeCell ref="A721:B721"/>
    <mergeCell ref="A722:B722"/>
    <mergeCell ref="A723:B723"/>
    <mergeCell ref="A724:B724"/>
    <mergeCell ref="A243:B243"/>
    <mergeCell ref="A244:B244"/>
    <mergeCell ref="A245:B245"/>
    <mergeCell ref="A246:B246"/>
    <mergeCell ref="A247:B247"/>
    <mergeCell ref="A248:B248"/>
    <mergeCell ref="A229:B229"/>
    <mergeCell ref="A241:B241"/>
    <mergeCell ref="A242:B242"/>
    <mergeCell ref="A231:B231"/>
    <mergeCell ref="A232:B232"/>
    <mergeCell ref="A236:B236"/>
    <mergeCell ref="A237:B237"/>
    <mergeCell ref="A235:B235"/>
    <mergeCell ref="A240:B240"/>
    <mergeCell ref="A459:B459"/>
    <mergeCell ref="A460:B460"/>
    <mergeCell ref="A452:B452"/>
    <mergeCell ref="A438:B438"/>
    <mergeCell ref="A461:B461"/>
    <mergeCell ref="A479:F479"/>
    <mergeCell ref="C488:D488"/>
    <mergeCell ref="E488:L488"/>
    <mergeCell ref="A458:B458"/>
    <mergeCell ref="A442:B442"/>
    <mergeCell ref="A443:B443"/>
    <mergeCell ref="A444:B444"/>
    <mergeCell ref="A445:B445"/>
    <mergeCell ref="A446:B446"/>
    <mergeCell ref="A447:B447"/>
    <mergeCell ref="A448:B448"/>
    <mergeCell ref="A697:B697"/>
    <mergeCell ref="A698:B698"/>
    <mergeCell ref="A699:B699"/>
    <mergeCell ref="A700:B700"/>
    <mergeCell ref="A701:B701"/>
    <mergeCell ref="A702:B702"/>
    <mergeCell ref="A880:B880"/>
    <mergeCell ref="A869:B869"/>
    <mergeCell ref="A870:B870"/>
    <mergeCell ref="A871:B871"/>
    <mergeCell ref="A872:B872"/>
    <mergeCell ref="A873:B873"/>
    <mergeCell ref="A874:B874"/>
    <mergeCell ref="A866:B866"/>
    <mergeCell ref="A867:B867"/>
    <mergeCell ref="A868:B868"/>
    <mergeCell ref="A875:B875"/>
    <mergeCell ref="A876:B876"/>
    <mergeCell ref="A877:B877"/>
    <mergeCell ref="A878:B878"/>
    <mergeCell ref="A879:B879"/>
    <mergeCell ref="A841:B841"/>
    <mergeCell ref="A808:B808"/>
    <mergeCell ref="A838:B838"/>
    <mergeCell ref="A767:B767"/>
    <mergeCell ref="C767:E767"/>
    <mergeCell ref="F767:G767"/>
    <mergeCell ref="H767:K767"/>
    <mergeCell ref="A768:B768"/>
    <mergeCell ref="C768:E768"/>
    <mergeCell ref="F768:G768"/>
    <mergeCell ref="H768:K768"/>
    <mergeCell ref="A765:B765"/>
    <mergeCell ref="A766:B766"/>
    <mergeCell ref="A729:B729"/>
    <mergeCell ref="A735:B735"/>
    <mergeCell ref="A732:B732"/>
    <mergeCell ref="A733:B733"/>
    <mergeCell ref="A736:B736"/>
    <mergeCell ref="F765:G765"/>
    <mergeCell ref="C766:E766"/>
    <mergeCell ref="F766:G766"/>
    <mergeCell ref="H766:K766"/>
    <mergeCell ref="A810:B810"/>
    <mergeCell ref="A824:F824"/>
    <mergeCell ref="A831:B831"/>
    <mergeCell ref="A832:B832"/>
    <mergeCell ref="A833:B833"/>
    <mergeCell ref="C833:D833"/>
    <mergeCell ref="A837:B837"/>
    <mergeCell ref="C837:E837"/>
    <mergeCell ref="F837:G837"/>
    <mergeCell ref="C835:E835"/>
    <mergeCell ref="F835:G835"/>
    <mergeCell ref="A811:B811"/>
    <mergeCell ref="F836:G836"/>
    <mergeCell ref="C838:E838"/>
    <mergeCell ref="F838:G838"/>
    <mergeCell ref="H838:K838"/>
    <mergeCell ref="A836:B836"/>
    <mergeCell ref="C836:E836"/>
    <mergeCell ref="E833:L833"/>
    <mergeCell ref="A834:B834"/>
    <mergeCell ref="F834:G834"/>
    <mergeCell ref="B822:O822"/>
    <mergeCell ref="A835:B835"/>
    <mergeCell ref="H835:K835"/>
    <mergeCell ref="H837:K837"/>
    <mergeCell ref="H836:K836"/>
    <mergeCell ref="A703:B703"/>
    <mergeCell ref="A704:B704"/>
    <mergeCell ref="A705:B705"/>
    <mergeCell ref="A706:B706"/>
    <mergeCell ref="A707:B707"/>
    <mergeCell ref="A708:B708"/>
    <mergeCell ref="A636:B636"/>
    <mergeCell ref="A637:B637"/>
    <mergeCell ref="A638:B638"/>
    <mergeCell ref="A696:B696"/>
    <mergeCell ref="A670:B670"/>
    <mergeCell ref="A657:B657"/>
    <mergeCell ref="A658:B658"/>
    <mergeCell ref="A659:B659"/>
    <mergeCell ref="A660:B660"/>
    <mergeCell ref="A661:B661"/>
    <mergeCell ref="A662:B662"/>
    <mergeCell ref="A654:B654"/>
    <mergeCell ref="A655:B655"/>
    <mergeCell ref="A656:B656"/>
    <mergeCell ref="A639:B639"/>
    <mergeCell ref="A640:B640"/>
    <mergeCell ref="A641:B641"/>
    <mergeCell ref="A642:B642"/>
    <mergeCell ref="A585:B585"/>
    <mergeCell ref="A586:B586"/>
    <mergeCell ref="A572:B572"/>
    <mergeCell ref="A570:B570"/>
    <mergeCell ref="A571:B571"/>
    <mergeCell ref="A573:B573"/>
    <mergeCell ref="A574:B574"/>
    <mergeCell ref="A566:B566"/>
    <mergeCell ref="A567:B567"/>
    <mergeCell ref="A568:B568"/>
    <mergeCell ref="A569:B569"/>
    <mergeCell ref="A576:B576"/>
    <mergeCell ref="A577:B577"/>
    <mergeCell ref="A578:B578"/>
    <mergeCell ref="A575:B575"/>
    <mergeCell ref="H561:K561"/>
    <mergeCell ref="C562:E562"/>
    <mergeCell ref="A535:B535"/>
    <mergeCell ref="A529:B529"/>
    <mergeCell ref="A530:B530"/>
    <mergeCell ref="A531:B531"/>
    <mergeCell ref="A532:B532"/>
    <mergeCell ref="A533:B533"/>
    <mergeCell ref="A534:B534"/>
    <mergeCell ref="A548:F548"/>
    <mergeCell ref="C557:D557"/>
    <mergeCell ref="E557:L557"/>
    <mergeCell ref="F558:G558"/>
    <mergeCell ref="C559:E559"/>
    <mergeCell ref="F559:G559"/>
    <mergeCell ref="H559:K559"/>
    <mergeCell ref="C560:E560"/>
    <mergeCell ref="F560:G560"/>
    <mergeCell ref="H560:K560"/>
    <mergeCell ref="H562:K562"/>
    <mergeCell ref="F561:G561"/>
    <mergeCell ref="C561:E561"/>
    <mergeCell ref="A555:B555"/>
    <mergeCell ref="A516:B516"/>
    <mergeCell ref="A522:B522"/>
    <mergeCell ref="A523:B523"/>
    <mergeCell ref="A379:B379"/>
    <mergeCell ref="A419:B419"/>
    <mergeCell ref="A434:B434"/>
    <mergeCell ref="A426:B426"/>
    <mergeCell ref="A427:B427"/>
    <mergeCell ref="A428:B428"/>
    <mergeCell ref="A429:B429"/>
    <mergeCell ref="A430:B430"/>
    <mergeCell ref="A431:B431"/>
    <mergeCell ref="A422:B422"/>
    <mergeCell ref="A423:B423"/>
    <mergeCell ref="A424:B424"/>
    <mergeCell ref="A420:B420"/>
    <mergeCell ref="A453:B453"/>
    <mergeCell ref="A454:B454"/>
    <mergeCell ref="A502:B502"/>
    <mergeCell ref="A390:B390"/>
    <mergeCell ref="A391:B391"/>
    <mergeCell ref="A392:B392"/>
    <mergeCell ref="A418:B418"/>
    <mergeCell ref="A400:B400"/>
    <mergeCell ref="A401:B401"/>
    <mergeCell ref="A417:B417"/>
    <mergeCell ref="B407:O407"/>
    <mergeCell ref="B408:O408"/>
    <mergeCell ref="H354:K354"/>
    <mergeCell ref="C355:E355"/>
    <mergeCell ref="F355:G355"/>
    <mergeCell ref="A382:B382"/>
    <mergeCell ref="A385:B385"/>
    <mergeCell ref="C354:E354"/>
    <mergeCell ref="A380:B380"/>
    <mergeCell ref="A381:B381"/>
    <mergeCell ref="A356:B356"/>
    <mergeCell ref="A383:B383"/>
    <mergeCell ref="A384:B384"/>
    <mergeCell ref="A368:B368"/>
    <mergeCell ref="A398:B398"/>
    <mergeCell ref="A399:B399"/>
    <mergeCell ref="F352:G352"/>
    <mergeCell ref="H352:K352"/>
    <mergeCell ref="C353:E353"/>
    <mergeCell ref="F353:G353"/>
    <mergeCell ref="H353:K353"/>
    <mergeCell ref="A421:B421"/>
    <mergeCell ref="A364:B364"/>
    <mergeCell ref="A365:B365"/>
    <mergeCell ref="A366:B366"/>
    <mergeCell ref="A386:B386"/>
    <mergeCell ref="A387:B387"/>
    <mergeCell ref="A388:B388"/>
    <mergeCell ref="A389:B389"/>
    <mergeCell ref="A393:B393"/>
    <mergeCell ref="A394:B394"/>
    <mergeCell ref="A395:B395"/>
    <mergeCell ref="A396:B396"/>
    <mergeCell ref="A397:B397"/>
    <mergeCell ref="F354:G354"/>
    <mergeCell ref="A410:F410"/>
    <mergeCell ref="C419:D419"/>
    <mergeCell ref="E419:L419"/>
    <mergeCell ref="F420:G420"/>
    <mergeCell ref="H355:K355"/>
    <mergeCell ref="A328:B328"/>
    <mergeCell ref="A367:B367"/>
    <mergeCell ref="A377:B377"/>
    <mergeCell ref="A378:B378"/>
    <mergeCell ref="A357:B357"/>
    <mergeCell ref="A358:B358"/>
    <mergeCell ref="A359:B359"/>
    <mergeCell ref="A361:B361"/>
    <mergeCell ref="A354:B354"/>
    <mergeCell ref="A369:B369"/>
    <mergeCell ref="A370:B370"/>
    <mergeCell ref="A374:B374"/>
    <mergeCell ref="A373:B373"/>
    <mergeCell ref="A375:B375"/>
    <mergeCell ref="A376:B376"/>
    <mergeCell ref="A371:B371"/>
    <mergeCell ref="A362:B362"/>
    <mergeCell ref="A363:B363"/>
    <mergeCell ref="A329:B329"/>
    <mergeCell ref="A330:B330"/>
    <mergeCell ref="A331:B331"/>
    <mergeCell ref="A332:B332"/>
    <mergeCell ref="A360:B360"/>
    <mergeCell ref="A279:B279"/>
    <mergeCell ref="A280:B280"/>
    <mergeCell ref="A281:B281"/>
    <mergeCell ref="A282:B282"/>
    <mergeCell ref="A249:B249"/>
    <mergeCell ref="A250:B250"/>
    <mergeCell ref="A251:B251"/>
    <mergeCell ref="A252:B252"/>
    <mergeCell ref="A253:B253"/>
    <mergeCell ref="A254:B254"/>
    <mergeCell ref="A272:F272"/>
    <mergeCell ref="C281:D281"/>
    <mergeCell ref="E281:L281"/>
    <mergeCell ref="F282:G282"/>
    <mergeCell ref="B270:O270"/>
    <mergeCell ref="A255:B255"/>
    <mergeCell ref="A256:B256"/>
    <mergeCell ref="A257:B257"/>
    <mergeCell ref="A258:B258"/>
    <mergeCell ref="A259:B259"/>
    <mergeCell ref="A260:B260"/>
    <mergeCell ref="A261:B261"/>
    <mergeCell ref="A262:B262"/>
    <mergeCell ref="A263:B263"/>
    <mergeCell ref="A238:B238"/>
    <mergeCell ref="A239:B239"/>
    <mergeCell ref="A233:B233"/>
    <mergeCell ref="A226:B226"/>
    <mergeCell ref="A213:B213"/>
    <mergeCell ref="A214:B214"/>
    <mergeCell ref="A215:B215"/>
    <mergeCell ref="A216:B216"/>
    <mergeCell ref="A217:B217"/>
    <mergeCell ref="A218:B218"/>
    <mergeCell ref="A225:B225"/>
    <mergeCell ref="A228:B228"/>
    <mergeCell ref="A222:B222"/>
    <mergeCell ref="A223:B223"/>
    <mergeCell ref="A219:B219"/>
    <mergeCell ref="A220:B220"/>
    <mergeCell ref="A221:B221"/>
    <mergeCell ref="A227:B227"/>
    <mergeCell ref="A224:B224"/>
    <mergeCell ref="A230:B230"/>
    <mergeCell ref="H217:K217"/>
    <mergeCell ref="A148:B148"/>
    <mergeCell ref="C148:E148"/>
    <mergeCell ref="F148:G148"/>
    <mergeCell ref="H148:K148"/>
    <mergeCell ref="A149:B149"/>
    <mergeCell ref="H215:K215"/>
    <mergeCell ref="H216:K216"/>
    <mergeCell ref="A203:F203"/>
    <mergeCell ref="A210:B210"/>
    <mergeCell ref="A211:B211"/>
    <mergeCell ref="A212:B212"/>
    <mergeCell ref="C214:E214"/>
    <mergeCell ref="F214:G214"/>
    <mergeCell ref="C215:E215"/>
    <mergeCell ref="F215:G215"/>
    <mergeCell ref="C216:E216"/>
    <mergeCell ref="F216:G216"/>
    <mergeCell ref="F213:G213"/>
    <mergeCell ref="C217:E217"/>
    <mergeCell ref="F217:G217"/>
    <mergeCell ref="A190:B190"/>
    <mergeCell ref="A154:B154"/>
    <mergeCell ref="A155:B155"/>
    <mergeCell ref="A146:B146"/>
    <mergeCell ref="C146:E146"/>
    <mergeCell ref="F146:G146"/>
    <mergeCell ref="H146:K146"/>
    <mergeCell ref="A147:B147"/>
    <mergeCell ref="C147:E147"/>
    <mergeCell ref="F147:G147"/>
    <mergeCell ref="H147:K147"/>
    <mergeCell ref="H214:K214"/>
    <mergeCell ref="A162:B162"/>
    <mergeCell ref="A163:B163"/>
    <mergeCell ref="A164:B164"/>
    <mergeCell ref="A170:B170"/>
    <mergeCell ref="A171:B171"/>
    <mergeCell ref="A172:B172"/>
    <mergeCell ref="C212:D212"/>
    <mergeCell ref="E212:L212"/>
    <mergeCell ref="A166:B166"/>
    <mergeCell ref="A167:B167"/>
    <mergeCell ref="A156:B156"/>
    <mergeCell ref="A157:B157"/>
    <mergeCell ref="A176:B176"/>
    <mergeCell ref="A177:B177"/>
    <mergeCell ref="A179:B179"/>
    <mergeCell ref="A144:B144"/>
    <mergeCell ref="F144:G144"/>
    <mergeCell ref="A145:B145"/>
    <mergeCell ref="C145:E145"/>
    <mergeCell ref="F145:G145"/>
    <mergeCell ref="H145:K145"/>
    <mergeCell ref="A143:B143"/>
    <mergeCell ref="C143:D143"/>
    <mergeCell ref="E143:L143"/>
    <mergeCell ref="A141:B141"/>
    <mergeCell ref="A142:B142"/>
    <mergeCell ref="B124:H124"/>
    <mergeCell ref="A127:A128"/>
    <mergeCell ref="B128:I128"/>
    <mergeCell ref="A134:F134"/>
    <mergeCell ref="D118:H118"/>
    <mergeCell ref="D119:H119"/>
    <mergeCell ref="D120:H120"/>
    <mergeCell ref="D121:H121"/>
    <mergeCell ref="D122:H122"/>
    <mergeCell ref="D123:H123"/>
    <mergeCell ref="D112:H112"/>
    <mergeCell ref="D113:H113"/>
    <mergeCell ref="D114:H114"/>
    <mergeCell ref="D115:H115"/>
    <mergeCell ref="D116:H116"/>
    <mergeCell ref="L105:L106"/>
    <mergeCell ref="D107:H107"/>
    <mergeCell ref="D108:H108"/>
    <mergeCell ref="D109:H109"/>
    <mergeCell ref="D110:H110"/>
    <mergeCell ref="D111:H111"/>
    <mergeCell ref="B105:B106"/>
    <mergeCell ref="C105:C106"/>
    <mergeCell ref="D105:H106"/>
    <mergeCell ref="I105:I106"/>
    <mergeCell ref="J105:J106"/>
    <mergeCell ref="K105:K106"/>
    <mergeCell ref="D92:H92"/>
    <mergeCell ref="D98:H98"/>
    <mergeCell ref="D99:H99"/>
    <mergeCell ref="D100:H100"/>
    <mergeCell ref="B101:H101"/>
    <mergeCell ref="I75:I76"/>
    <mergeCell ref="J75:J76"/>
    <mergeCell ref="K75:K76"/>
    <mergeCell ref="L75:L76"/>
    <mergeCell ref="B90:B91"/>
    <mergeCell ref="C90:C91"/>
    <mergeCell ref="D90:H91"/>
    <mergeCell ref="I90:I91"/>
    <mergeCell ref="J90:J91"/>
    <mergeCell ref="K90:K91"/>
    <mergeCell ref="L90:L91"/>
    <mergeCell ref="D77:H77"/>
    <mergeCell ref="D78:H78"/>
    <mergeCell ref="D82:H82"/>
    <mergeCell ref="D83:H83"/>
    <mergeCell ref="D84:H84"/>
    <mergeCell ref="B86:H86"/>
    <mergeCell ref="D56:H56"/>
    <mergeCell ref="D57:H57"/>
    <mergeCell ref="D45:H45"/>
    <mergeCell ref="D46:H46"/>
    <mergeCell ref="D47:H47"/>
    <mergeCell ref="D48:H48"/>
    <mergeCell ref="D49:H49"/>
    <mergeCell ref="D51:H51"/>
    <mergeCell ref="B75:B76"/>
    <mergeCell ref="C75:C76"/>
    <mergeCell ref="D75:H76"/>
    <mergeCell ref="I4:J4"/>
    <mergeCell ref="D7:H7"/>
    <mergeCell ref="D8:H8"/>
    <mergeCell ref="A159:B159"/>
    <mergeCell ref="A158:B158"/>
    <mergeCell ref="A194:B194"/>
    <mergeCell ref="A192:B192"/>
    <mergeCell ref="A187:B187"/>
    <mergeCell ref="A185:B185"/>
    <mergeCell ref="A182:B182"/>
    <mergeCell ref="A178:B178"/>
    <mergeCell ref="D15:H15"/>
    <mergeCell ref="D16:H16"/>
    <mergeCell ref="D17:H17"/>
    <mergeCell ref="D18:H18"/>
    <mergeCell ref="D19:H19"/>
    <mergeCell ref="D20:H20"/>
    <mergeCell ref="D9:H9"/>
    <mergeCell ref="A168:B168"/>
    <mergeCell ref="A169:B169"/>
    <mergeCell ref="D10:H10"/>
    <mergeCell ref="D11:H11"/>
    <mergeCell ref="D54:H54"/>
    <mergeCell ref="D55:H55"/>
    <mergeCell ref="A283:B283"/>
    <mergeCell ref="A284:B284"/>
    <mergeCell ref="A285:B285"/>
    <mergeCell ref="A291:B291"/>
    <mergeCell ref="A288:B288"/>
    <mergeCell ref="A289:B289"/>
    <mergeCell ref="A292:B292"/>
    <mergeCell ref="A307:B307"/>
    <mergeCell ref="A308:B308"/>
    <mergeCell ref="A298:B298"/>
    <mergeCell ref="A300:B300"/>
    <mergeCell ref="A301:B301"/>
    <mergeCell ref="A302:B302"/>
    <mergeCell ref="A293:B293"/>
    <mergeCell ref="A294:B294"/>
    <mergeCell ref="A295:B295"/>
    <mergeCell ref="A296:B296"/>
    <mergeCell ref="A297:B297"/>
    <mergeCell ref="A299:B299"/>
    <mergeCell ref="C283:E283"/>
    <mergeCell ref="F283:G283"/>
    <mergeCell ref="H283:K283"/>
    <mergeCell ref="C284:E284"/>
    <mergeCell ref="F284:G284"/>
    <mergeCell ref="H284:K284"/>
    <mergeCell ref="C285:E285"/>
    <mergeCell ref="F285:G285"/>
    <mergeCell ref="H285:K285"/>
    <mergeCell ref="F286:G286"/>
    <mergeCell ref="H286:K286"/>
    <mergeCell ref="A341:F341"/>
    <mergeCell ref="C421:E421"/>
    <mergeCell ref="F421:G421"/>
    <mergeCell ref="H421:K421"/>
    <mergeCell ref="C422:E422"/>
    <mergeCell ref="F422:G422"/>
    <mergeCell ref="H422:K422"/>
    <mergeCell ref="A290:B290"/>
    <mergeCell ref="A304:B304"/>
    <mergeCell ref="A305:B305"/>
    <mergeCell ref="A306:B306"/>
    <mergeCell ref="A286:B286"/>
    <mergeCell ref="A287:B287"/>
    <mergeCell ref="A309:B309"/>
    <mergeCell ref="A313:B313"/>
    <mergeCell ref="A314:B314"/>
    <mergeCell ref="A310:B310"/>
    <mergeCell ref="A311:B311"/>
    <mergeCell ref="A312:B312"/>
    <mergeCell ref="A350:B350"/>
    <mergeCell ref="A351:B351"/>
    <mergeCell ref="A348:B348"/>
    <mergeCell ref="C286:E286"/>
    <mergeCell ref="A349:B349"/>
    <mergeCell ref="A355:B355"/>
    <mergeCell ref="A352:B352"/>
    <mergeCell ref="A353:B353"/>
    <mergeCell ref="A319:B319"/>
    <mergeCell ref="A320:B320"/>
    <mergeCell ref="A321:B321"/>
    <mergeCell ref="A322:B322"/>
    <mergeCell ref="A323:B323"/>
    <mergeCell ref="A324:B324"/>
    <mergeCell ref="A325:B325"/>
    <mergeCell ref="A326:B326"/>
    <mergeCell ref="A327:B327"/>
    <mergeCell ref="A315:B315"/>
    <mergeCell ref="A316:B316"/>
    <mergeCell ref="A317:B317"/>
    <mergeCell ref="A318:B318"/>
    <mergeCell ref="B338:O338"/>
    <mergeCell ref="B339:O339"/>
    <mergeCell ref="C350:D350"/>
    <mergeCell ref="E350:L350"/>
    <mergeCell ref="F351:G351"/>
    <mergeCell ref="C352:E352"/>
    <mergeCell ref="D34:H34"/>
    <mergeCell ref="D35:H35"/>
    <mergeCell ref="D36:H36"/>
    <mergeCell ref="D37:H37"/>
    <mergeCell ref="D38:H38"/>
    <mergeCell ref="D52:H52"/>
    <mergeCell ref="D53:H53"/>
    <mergeCell ref="M75:M76"/>
    <mergeCell ref="A587:B587"/>
    <mergeCell ref="A582:B582"/>
    <mergeCell ref="A583:B583"/>
    <mergeCell ref="A584:B584"/>
    <mergeCell ref="C423:E423"/>
    <mergeCell ref="F423:G423"/>
    <mergeCell ref="H423:K423"/>
    <mergeCell ref="C424:E424"/>
    <mergeCell ref="F424:G424"/>
    <mergeCell ref="H424:K424"/>
    <mergeCell ref="D39:H39"/>
    <mergeCell ref="D40:H40"/>
    <mergeCell ref="D41:H41"/>
    <mergeCell ref="D42:H42"/>
    <mergeCell ref="D43:H43"/>
    <mergeCell ref="D44:H44"/>
    <mergeCell ref="D27:H27"/>
    <mergeCell ref="D28:H28"/>
    <mergeCell ref="D29:H29"/>
    <mergeCell ref="D30:H30"/>
    <mergeCell ref="D31:H31"/>
    <mergeCell ref="D32:H32"/>
    <mergeCell ref="D21:H21"/>
    <mergeCell ref="D22:H22"/>
    <mergeCell ref="D33:H33"/>
    <mergeCell ref="D23:H23"/>
    <mergeCell ref="D24:H24"/>
    <mergeCell ref="D25:H25"/>
    <mergeCell ref="D26:H26"/>
    <mergeCell ref="B1:O1"/>
    <mergeCell ref="B2:O2"/>
    <mergeCell ref="B69:O69"/>
    <mergeCell ref="B70:O70"/>
    <mergeCell ref="B131:O131"/>
    <mergeCell ref="B132:O132"/>
    <mergeCell ref="B200:O200"/>
    <mergeCell ref="B201:O201"/>
    <mergeCell ref="B269:O269"/>
    <mergeCell ref="M90:M91"/>
    <mergeCell ref="M105:M106"/>
    <mergeCell ref="B6:O6"/>
    <mergeCell ref="B74:O74"/>
    <mergeCell ref="N75:N76"/>
    <mergeCell ref="O75:O76"/>
    <mergeCell ref="N90:N91"/>
    <mergeCell ref="O90:O91"/>
    <mergeCell ref="B89:O89"/>
    <mergeCell ref="B104:O104"/>
    <mergeCell ref="N105:N106"/>
    <mergeCell ref="O105:O106"/>
    <mergeCell ref="D12:H12"/>
    <mergeCell ref="D13:H13"/>
    <mergeCell ref="D14:H14"/>
    <mergeCell ref="B890:O890"/>
    <mergeCell ref="B891:O891"/>
    <mergeCell ref="B545:O545"/>
    <mergeCell ref="B546:O546"/>
    <mergeCell ref="B614:O614"/>
    <mergeCell ref="B615:O615"/>
    <mergeCell ref="B683:O683"/>
    <mergeCell ref="B684:O684"/>
    <mergeCell ref="B752:O752"/>
    <mergeCell ref="B753:O753"/>
    <mergeCell ref="B821:O821"/>
    <mergeCell ref="A629:B629"/>
    <mergeCell ref="A624:B624"/>
    <mergeCell ref="A625:B625"/>
    <mergeCell ref="A626:B626"/>
    <mergeCell ref="A809:B809"/>
    <mergeCell ref="A666:B666"/>
    <mergeCell ref="A667:B667"/>
    <mergeCell ref="A663:B663"/>
    <mergeCell ref="A664:B664"/>
    <mergeCell ref="A665:B665"/>
    <mergeCell ref="A671:B671"/>
    <mergeCell ref="A668:B668"/>
    <mergeCell ref="F562:G562"/>
  </mergeCells>
  <pageMargins left="0.7" right="0.7" top="0.75" bottom="0.75" header="0.3" footer="0.3"/>
  <pageSetup scale="40" orientation="portrait" r:id="rId1"/>
  <headerFooter>
    <oddHeader>&amp;C&amp;"Arial,Bold"ADDENDUM 27 TO ATTACHMENT H, Page &amp;P of &amp;N
NorthWestern Corporation (South Dakota)</oddHeader>
  </headerFooter>
  <rowBreaks count="13" manualBreakCount="13">
    <brk id="68" max="16383" man="1"/>
    <brk id="130" max="16383" man="1"/>
    <brk id="199" max="16383" man="1"/>
    <brk id="268" max="16383" man="1"/>
    <brk id="337" max="16383" man="1"/>
    <brk id="406" max="16383" man="1"/>
    <brk id="475" max="14" man="1"/>
    <brk id="544" max="14" man="1"/>
    <brk id="613" max="14" man="1"/>
    <brk id="682" max="14" man="1"/>
    <brk id="751" max="14" man="1"/>
    <brk id="820" max="14" man="1"/>
    <brk id="889"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144"/>
  <sheetViews>
    <sheetView workbookViewId="0">
      <selection activeCell="G16" sqref="G16"/>
    </sheetView>
  </sheetViews>
  <sheetFormatPr defaultColWidth="9.109375" defaultRowHeight="13.2"/>
  <cols>
    <col min="1" max="1" width="9.109375" style="600"/>
    <col min="2" max="2" width="9.5546875" style="600" customWidth="1"/>
    <col min="3" max="3" width="9.44140625" style="600" bestFit="1" customWidth="1"/>
    <col min="4" max="4" width="20.5546875" style="600" bestFit="1" customWidth="1"/>
    <col min="5" max="5" width="63.5546875" style="600" customWidth="1"/>
    <col min="6" max="16384" width="9.109375" style="600"/>
  </cols>
  <sheetData>
    <row r="1" spans="1:5" ht="13.8">
      <c r="A1" s="845" t="s">
        <v>1414</v>
      </c>
    </row>
    <row r="2" spans="1:5" ht="13.8">
      <c r="A2" s="845" t="s">
        <v>1415</v>
      </c>
    </row>
    <row r="3" spans="1:5" ht="13.8">
      <c r="A3" s="846" t="s">
        <v>1774</v>
      </c>
      <c r="B3" s="847"/>
      <c r="C3" s="847"/>
      <c r="D3" s="847"/>
    </row>
    <row r="4" spans="1:5" ht="13.8">
      <c r="A4" s="845" t="s">
        <v>1413</v>
      </c>
    </row>
    <row r="5" spans="1:5" ht="13.8" thickBot="1"/>
    <row r="6" spans="1:5" ht="14.4" thickBot="1">
      <c r="A6" s="848" t="s">
        <v>1416</v>
      </c>
      <c r="B6" s="849" t="s">
        <v>1419</v>
      </c>
      <c r="C6" s="850" t="s">
        <v>1420</v>
      </c>
      <c r="D6" s="850" t="s">
        <v>1417</v>
      </c>
      <c r="E6" s="851" t="s">
        <v>1418</v>
      </c>
    </row>
    <row r="7" spans="1:5">
      <c r="A7" s="852">
        <v>1</v>
      </c>
      <c r="B7" s="912" t="s">
        <v>505</v>
      </c>
      <c r="C7" s="911">
        <v>50</v>
      </c>
      <c r="D7" s="870" t="s">
        <v>1554</v>
      </c>
      <c r="E7" s="870" t="s">
        <v>1784</v>
      </c>
    </row>
    <row r="8" spans="1:5">
      <c r="A8" s="852">
        <v>2</v>
      </c>
      <c r="B8" s="869"/>
      <c r="C8" s="870"/>
      <c r="D8" s="870"/>
      <c r="E8" s="871"/>
    </row>
    <row r="9" spans="1:5">
      <c r="A9" s="852">
        <v>3</v>
      </c>
      <c r="B9" s="869"/>
      <c r="C9" s="870"/>
      <c r="D9" s="870"/>
      <c r="E9" s="871"/>
    </row>
    <row r="10" spans="1:5">
      <c r="A10" s="852">
        <v>4</v>
      </c>
      <c r="B10" s="869"/>
      <c r="C10" s="870"/>
      <c r="D10" s="870"/>
      <c r="E10" s="871"/>
    </row>
    <row r="11" spans="1:5">
      <c r="A11" s="852">
        <v>5</v>
      </c>
      <c r="B11" s="869"/>
      <c r="C11" s="870"/>
      <c r="D11" s="870"/>
      <c r="E11" s="871"/>
    </row>
    <row r="12" spans="1:5">
      <c r="A12" s="852">
        <v>6</v>
      </c>
      <c r="B12" s="869"/>
      <c r="C12" s="870"/>
      <c r="D12" s="870"/>
      <c r="E12" s="871"/>
    </row>
    <row r="13" spans="1:5">
      <c r="A13" s="852">
        <v>7</v>
      </c>
      <c r="B13" s="869"/>
      <c r="C13" s="870"/>
      <c r="D13" s="870"/>
      <c r="E13" s="871"/>
    </row>
    <row r="14" spans="1:5">
      <c r="A14" s="852">
        <v>8</v>
      </c>
      <c r="B14" s="869"/>
      <c r="C14" s="870"/>
      <c r="D14" s="870"/>
      <c r="E14" s="871"/>
    </row>
    <row r="15" spans="1:5">
      <c r="A15" s="852">
        <v>9</v>
      </c>
      <c r="B15" s="869"/>
      <c r="C15" s="870"/>
      <c r="D15" s="870"/>
      <c r="E15" s="871"/>
    </row>
    <row r="16" spans="1:5">
      <c r="A16" s="852">
        <v>10</v>
      </c>
      <c r="B16" s="869"/>
      <c r="C16" s="870"/>
      <c r="D16" s="870"/>
      <c r="E16" s="871"/>
    </row>
    <row r="17" spans="1:5">
      <c r="A17" s="852">
        <v>11</v>
      </c>
      <c r="B17" s="869"/>
      <c r="C17" s="870"/>
      <c r="D17" s="870"/>
      <c r="E17" s="871"/>
    </row>
    <row r="18" spans="1:5">
      <c r="A18" s="852">
        <v>12</v>
      </c>
      <c r="B18" s="869"/>
      <c r="C18" s="870"/>
      <c r="D18" s="870"/>
      <c r="E18" s="871"/>
    </row>
    <row r="19" spans="1:5">
      <c r="A19" s="852">
        <v>13</v>
      </c>
      <c r="B19" s="869"/>
      <c r="C19" s="870"/>
      <c r="D19" s="870"/>
      <c r="E19" s="871"/>
    </row>
    <row r="20" spans="1:5">
      <c r="A20" s="852">
        <v>14</v>
      </c>
      <c r="B20" s="869"/>
      <c r="C20" s="870"/>
      <c r="D20" s="870"/>
      <c r="E20" s="871"/>
    </row>
    <row r="21" spans="1:5">
      <c r="A21" s="852">
        <v>15</v>
      </c>
      <c r="B21" s="869"/>
      <c r="C21" s="870"/>
      <c r="D21" s="870"/>
      <c r="E21" s="871"/>
    </row>
    <row r="22" spans="1:5">
      <c r="A22" s="852">
        <v>16</v>
      </c>
      <c r="B22" s="869"/>
      <c r="C22" s="870"/>
      <c r="D22" s="870"/>
      <c r="E22" s="871"/>
    </row>
    <row r="23" spans="1:5">
      <c r="A23" s="852">
        <v>17</v>
      </c>
      <c r="B23" s="869"/>
      <c r="C23" s="870"/>
      <c r="D23" s="870"/>
      <c r="E23" s="871"/>
    </row>
    <row r="24" spans="1:5">
      <c r="A24" s="852">
        <v>18</v>
      </c>
      <c r="B24" s="869"/>
      <c r="C24" s="870"/>
      <c r="D24" s="870"/>
      <c r="E24" s="871"/>
    </row>
    <row r="25" spans="1:5">
      <c r="A25" s="852">
        <v>19</v>
      </c>
      <c r="B25" s="869"/>
      <c r="C25" s="870"/>
      <c r="D25" s="870"/>
      <c r="E25" s="871"/>
    </row>
    <row r="26" spans="1:5">
      <c r="A26" s="852">
        <v>20</v>
      </c>
      <c r="B26" s="869"/>
      <c r="C26" s="870"/>
      <c r="D26" s="870"/>
      <c r="E26" s="871"/>
    </row>
    <row r="27" spans="1:5">
      <c r="A27" s="852">
        <v>21</v>
      </c>
      <c r="B27" s="869"/>
      <c r="C27" s="870"/>
      <c r="D27" s="870"/>
      <c r="E27" s="871"/>
    </row>
    <row r="28" spans="1:5">
      <c r="A28" s="852">
        <v>22</v>
      </c>
      <c r="B28" s="869"/>
      <c r="C28" s="870"/>
      <c r="D28" s="870"/>
      <c r="E28" s="871"/>
    </row>
    <row r="29" spans="1:5">
      <c r="A29" s="852">
        <v>23</v>
      </c>
      <c r="B29" s="869"/>
      <c r="C29" s="870"/>
      <c r="D29" s="870"/>
      <c r="E29" s="871"/>
    </row>
    <row r="30" spans="1:5">
      <c r="A30" s="852">
        <v>24</v>
      </c>
      <c r="B30" s="869"/>
      <c r="C30" s="870"/>
      <c r="D30" s="870"/>
      <c r="E30" s="871"/>
    </row>
    <row r="31" spans="1:5">
      <c r="A31" s="852">
        <v>25</v>
      </c>
      <c r="B31" s="869"/>
      <c r="C31" s="870"/>
      <c r="D31" s="870"/>
      <c r="E31" s="871"/>
    </row>
    <row r="32" spans="1:5">
      <c r="A32" s="852">
        <v>26</v>
      </c>
      <c r="B32" s="869"/>
      <c r="C32" s="870"/>
      <c r="D32" s="870"/>
      <c r="E32" s="871"/>
    </row>
    <row r="33" spans="1:5">
      <c r="A33" s="852">
        <v>27</v>
      </c>
      <c r="B33" s="869"/>
      <c r="C33" s="870"/>
      <c r="D33" s="870"/>
      <c r="E33" s="871"/>
    </row>
    <row r="34" spans="1:5">
      <c r="A34" s="852">
        <v>28</v>
      </c>
      <c r="B34" s="869"/>
      <c r="C34" s="870"/>
      <c r="D34" s="870"/>
      <c r="E34" s="871"/>
    </row>
    <row r="35" spans="1:5">
      <c r="A35" s="852">
        <v>29</v>
      </c>
      <c r="B35" s="869"/>
      <c r="C35" s="870"/>
      <c r="D35" s="870"/>
      <c r="E35" s="871"/>
    </row>
    <row r="36" spans="1:5">
      <c r="A36" s="852">
        <v>30</v>
      </c>
      <c r="B36" s="869"/>
      <c r="C36" s="870"/>
      <c r="D36" s="870"/>
      <c r="E36" s="871"/>
    </row>
    <row r="37" spans="1:5" ht="12.75" customHeight="1">
      <c r="A37" s="852">
        <v>31</v>
      </c>
      <c r="B37" s="869"/>
      <c r="C37" s="870"/>
      <c r="D37" s="870"/>
      <c r="E37" s="871"/>
    </row>
    <row r="38" spans="1:5" ht="12.75" customHeight="1">
      <c r="A38" s="852">
        <v>32</v>
      </c>
      <c r="B38" s="869"/>
      <c r="C38" s="870"/>
      <c r="D38" s="870"/>
      <c r="E38" s="871"/>
    </row>
    <row r="39" spans="1:5" ht="12.75" customHeight="1">
      <c r="A39" s="852">
        <v>33</v>
      </c>
      <c r="B39" s="869"/>
      <c r="C39" s="870"/>
      <c r="D39" s="870"/>
      <c r="E39" s="871"/>
    </row>
    <row r="40" spans="1:5" ht="12.75" customHeight="1">
      <c r="A40" s="852">
        <v>34</v>
      </c>
      <c r="B40" s="869"/>
      <c r="C40" s="870"/>
      <c r="D40" s="870"/>
      <c r="E40" s="871"/>
    </row>
    <row r="41" spans="1:5" ht="12.75" customHeight="1">
      <c r="A41" s="852">
        <v>35</v>
      </c>
      <c r="B41" s="869"/>
      <c r="C41" s="870"/>
      <c r="D41" s="870"/>
      <c r="E41" s="871"/>
    </row>
    <row r="42" spans="1:5" ht="12.75" customHeight="1">
      <c r="A42" s="852">
        <v>36</v>
      </c>
      <c r="B42" s="869"/>
      <c r="C42" s="870"/>
      <c r="D42" s="870"/>
      <c r="E42" s="871"/>
    </row>
    <row r="43" spans="1:5" ht="12.75" customHeight="1">
      <c r="A43" s="852">
        <v>37</v>
      </c>
      <c r="B43" s="869"/>
      <c r="C43" s="870"/>
      <c r="D43" s="870"/>
      <c r="E43" s="871"/>
    </row>
    <row r="44" spans="1:5" ht="12.75" customHeight="1">
      <c r="A44" s="852">
        <v>38</v>
      </c>
      <c r="B44" s="869"/>
      <c r="C44" s="870"/>
      <c r="D44" s="870"/>
      <c r="E44" s="871"/>
    </row>
    <row r="45" spans="1:5" ht="12.75" customHeight="1">
      <c r="A45" s="852">
        <v>39</v>
      </c>
      <c r="B45" s="869"/>
      <c r="C45" s="870"/>
      <c r="D45" s="870"/>
      <c r="E45" s="871"/>
    </row>
    <row r="46" spans="1:5" ht="12.75" customHeight="1">
      <c r="A46" s="852">
        <v>40</v>
      </c>
      <c r="B46" s="869"/>
      <c r="C46" s="870"/>
      <c r="D46" s="870"/>
      <c r="E46" s="871"/>
    </row>
    <row r="47" spans="1:5" ht="12.75" customHeight="1">
      <c r="A47" s="852">
        <v>41</v>
      </c>
      <c r="B47" s="869"/>
      <c r="C47" s="870"/>
      <c r="D47" s="870"/>
      <c r="E47" s="871"/>
    </row>
    <row r="48" spans="1:5" ht="12.75" customHeight="1">
      <c r="A48" s="852">
        <v>42</v>
      </c>
      <c r="B48" s="869"/>
      <c r="C48" s="870"/>
      <c r="D48" s="870"/>
      <c r="E48" s="871"/>
    </row>
    <row r="49" spans="1:5" ht="12.75" customHeight="1">
      <c r="A49" s="852">
        <v>43</v>
      </c>
      <c r="B49" s="869"/>
      <c r="C49" s="870"/>
      <c r="D49" s="870"/>
      <c r="E49" s="871"/>
    </row>
    <row r="50" spans="1:5" ht="12.75" customHeight="1">
      <c r="A50" s="852">
        <v>44</v>
      </c>
      <c r="B50" s="869"/>
      <c r="C50" s="870"/>
      <c r="D50" s="870"/>
      <c r="E50" s="871"/>
    </row>
    <row r="51" spans="1:5" ht="12.75" customHeight="1">
      <c r="A51" s="852">
        <v>45</v>
      </c>
      <c r="B51" s="869"/>
      <c r="C51" s="870"/>
      <c r="D51" s="870"/>
      <c r="E51" s="871"/>
    </row>
    <row r="52" spans="1:5" ht="12.75" customHeight="1">
      <c r="A52" s="852">
        <v>46</v>
      </c>
      <c r="B52" s="869"/>
      <c r="C52" s="870"/>
      <c r="D52" s="870"/>
      <c r="E52" s="871"/>
    </row>
    <row r="53" spans="1:5" ht="12.75" customHeight="1">
      <c r="A53" s="852">
        <v>47</v>
      </c>
      <c r="B53" s="869"/>
      <c r="C53" s="870"/>
      <c r="D53" s="870"/>
      <c r="E53" s="871"/>
    </row>
    <row r="54" spans="1:5" ht="12.75" customHeight="1">
      <c r="A54" s="852">
        <v>48</v>
      </c>
      <c r="B54" s="869"/>
      <c r="C54" s="870"/>
      <c r="D54" s="870"/>
      <c r="E54" s="871"/>
    </row>
    <row r="55" spans="1:5" ht="12.75" customHeight="1">
      <c r="A55" s="852">
        <v>49</v>
      </c>
      <c r="B55" s="869"/>
      <c r="C55" s="870"/>
      <c r="D55" s="870"/>
      <c r="E55" s="871"/>
    </row>
    <row r="56" spans="1:5" ht="12.75" customHeight="1">
      <c r="A56" s="852">
        <v>50</v>
      </c>
      <c r="B56" s="869"/>
      <c r="C56" s="870"/>
      <c r="D56" s="870"/>
      <c r="E56" s="871"/>
    </row>
    <row r="57" spans="1:5" ht="12.75" customHeight="1">
      <c r="A57" s="852">
        <v>51</v>
      </c>
      <c r="B57" s="869"/>
      <c r="C57" s="870"/>
      <c r="D57" s="870"/>
      <c r="E57" s="871"/>
    </row>
    <row r="58" spans="1:5" ht="12.75" customHeight="1">
      <c r="A58" s="852">
        <v>52</v>
      </c>
      <c r="B58" s="869"/>
      <c r="C58" s="870"/>
      <c r="D58" s="870"/>
      <c r="E58" s="871"/>
    </row>
    <row r="59" spans="1:5" ht="12.75" customHeight="1">
      <c r="A59" s="852">
        <v>53</v>
      </c>
      <c r="B59" s="869"/>
      <c r="C59" s="870"/>
      <c r="D59" s="870"/>
      <c r="E59" s="871"/>
    </row>
    <row r="60" spans="1:5" ht="12.75" customHeight="1">
      <c r="A60" s="852">
        <v>54</v>
      </c>
      <c r="B60" s="869"/>
      <c r="C60" s="870"/>
      <c r="D60" s="870"/>
      <c r="E60" s="871"/>
    </row>
    <row r="61" spans="1:5" ht="12.75" customHeight="1">
      <c r="A61" s="852">
        <v>55</v>
      </c>
      <c r="B61" s="869"/>
      <c r="C61" s="870"/>
      <c r="D61" s="870"/>
      <c r="E61" s="871"/>
    </row>
    <row r="62" spans="1:5" ht="12.75" customHeight="1">
      <c r="A62" s="852">
        <v>56</v>
      </c>
      <c r="B62" s="869"/>
      <c r="C62" s="870"/>
      <c r="D62" s="870"/>
      <c r="E62" s="871"/>
    </row>
    <row r="63" spans="1:5" ht="12.75" customHeight="1">
      <c r="A63" s="852">
        <v>57</v>
      </c>
      <c r="B63" s="869"/>
      <c r="C63" s="870"/>
      <c r="D63" s="870"/>
      <c r="E63" s="871"/>
    </row>
    <row r="64" spans="1:5" ht="12.75" customHeight="1">
      <c r="A64" s="852">
        <v>58</v>
      </c>
      <c r="B64" s="869"/>
      <c r="C64" s="870"/>
      <c r="D64" s="870"/>
      <c r="E64" s="871"/>
    </row>
    <row r="65" spans="1:5" ht="12.75" customHeight="1">
      <c r="A65" s="852">
        <v>59</v>
      </c>
      <c r="B65" s="869"/>
      <c r="C65" s="870"/>
      <c r="D65" s="870"/>
      <c r="E65" s="871"/>
    </row>
    <row r="66" spans="1:5" ht="12.75" customHeight="1">
      <c r="A66" s="852">
        <v>60</v>
      </c>
      <c r="B66" s="869"/>
      <c r="C66" s="870"/>
      <c r="D66" s="870"/>
      <c r="E66" s="871"/>
    </row>
    <row r="67" spans="1:5" ht="12.75" customHeight="1">
      <c r="A67" s="852">
        <v>61</v>
      </c>
      <c r="B67" s="869"/>
      <c r="C67" s="870"/>
      <c r="D67" s="870"/>
      <c r="E67" s="871"/>
    </row>
    <row r="68" spans="1:5" ht="12.75" customHeight="1">
      <c r="A68" s="852">
        <v>62</v>
      </c>
      <c r="B68" s="869"/>
      <c r="C68" s="870"/>
      <c r="D68" s="870"/>
      <c r="E68" s="871"/>
    </row>
    <row r="69" spans="1:5" ht="12.75" customHeight="1">
      <c r="A69" s="852">
        <v>63</v>
      </c>
      <c r="B69" s="869"/>
      <c r="C69" s="870"/>
      <c r="D69" s="870"/>
      <c r="E69" s="871"/>
    </row>
    <row r="70" spans="1:5" ht="12.75" customHeight="1">
      <c r="A70" s="852">
        <v>64</v>
      </c>
      <c r="B70" s="869"/>
      <c r="C70" s="870"/>
      <c r="D70" s="870"/>
      <c r="E70" s="871"/>
    </row>
    <row r="71" spans="1:5" ht="12.75" customHeight="1">
      <c r="A71" s="852">
        <v>65</v>
      </c>
      <c r="B71" s="869"/>
      <c r="C71" s="870"/>
      <c r="D71" s="870"/>
      <c r="E71" s="871"/>
    </row>
    <row r="72" spans="1:5" ht="12.75" customHeight="1">
      <c r="A72" s="852">
        <v>66</v>
      </c>
      <c r="B72" s="869"/>
      <c r="C72" s="870"/>
      <c r="D72" s="870"/>
      <c r="E72" s="871"/>
    </row>
    <row r="73" spans="1:5" ht="12.75" customHeight="1">
      <c r="A73" s="852">
        <v>67</v>
      </c>
      <c r="B73" s="869"/>
      <c r="C73" s="870"/>
      <c r="D73" s="870"/>
      <c r="E73" s="871"/>
    </row>
    <row r="74" spans="1:5" ht="12.75" customHeight="1">
      <c r="A74" s="852">
        <v>68</v>
      </c>
      <c r="B74" s="869"/>
      <c r="C74" s="870"/>
      <c r="D74" s="870"/>
      <c r="E74" s="871"/>
    </row>
    <row r="75" spans="1:5" ht="12.75" customHeight="1">
      <c r="A75" s="852">
        <v>69</v>
      </c>
      <c r="B75" s="869"/>
      <c r="C75" s="870"/>
      <c r="D75" s="870"/>
      <c r="E75" s="871"/>
    </row>
    <row r="76" spans="1:5" ht="12.75" customHeight="1">
      <c r="A76" s="852">
        <v>70</v>
      </c>
      <c r="B76" s="869"/>
      <c r="C76" s="870"/>
      <c r="D76" s="870"/>
      <c r="E76" s="871"/>
    </row>
    <row r="77" spans="1:5">
      <c r="A77" s="852">
        <v>71</v>
      </c>
      <c r="B77" s="869"/>
      <c r="C77" s="870"/>
      <c r="D77" s="870"/>
      <c r="E77" s="871"/>
    </row>
    <row r="78" spans="1:5">
      <c r="A78" s="852">
        <v>72</v>
      </c>
      <c r="B78" s="869"/>
      <c r="C78" s="870"/>
      <c r="D78" s="870"/>
      <c r="E78" s="871"/>
    </row>
    <row r="79" spans="1:5">
      <c r="A79" s="852">
        <v>73</v>
      </c>
      <c r="B79" s="869"/>
      <c r="C79" s="870"/>
      <c r="D79" s="870"/>
      <c r="E79" s="871"/>
    </row>
    <row r="80" spans="1:5">
      <c r="A80" s="852">
        <v>74</v>
      </c>
      <c r="B80" s="869"/>
      <c r="C80" s="870"/>
      <c r="D80" s="870"/>
      <c r="E80" s="871"/>
    </row>
    <row r="81" spans="1:5">
      <c r="A81" s="852">
        <v>75</v>
      </c>
      <c r="B81" s="869"/>
      <c r="C81" s="870"/>
      <c r="D81" s="870"/>
      <c r="E81" s="871"/>
    </row>
    <row r="82" spans="1:5">
      <c r="A82" s="852">
        <v>76</v>
      </c>
      <c r="B82" s="869"/>
      <c r="C82" s="870"/>
      <c r="D82" s="870"/>
      <c r="E82" s="871"/>
    </row>
    <row r="83" spans="1:5">
      <c r="A83" s="852">
        <v>77</v>
      </c>
      <c r="B83" s="869"/>
      <c r="C83" s="870"/>
      <c r="D83" s="870"/>
      <c r="E83" s="871"/>
    </row>
    <row r="84" spans="1:5">
      <c r="A84" s="852">
        <v>78</v>
      </c>
      <c r="B84" s="869"/>
      <c r="C84" s="870"/>
      <c r="D84" s="870"/>
      <c r="E84" s="871"/>
    </row>
    <row r="85" spans="1:5">
      <c r="A85" s="852">
        <v>79</v>
      </c>
      <c r="B85" s="869"/>
      <c r="C85" s="870"/>
      <c r="D85" s="870"/>
      <c r="E85" s="871"/>
    </row>
    <row r="86" spans="1:5">
      <c r="A86" s="852">
        <v>80</v>
      </c>
      <c r="B86" s="869"/>
      <c r="C86" s="870"/>
      <c r="D86" s="870"/>
      <c r="E86" s="871"/>
    </row>
    <row r="87" spans="1:5">
      <c r="A87" s="852">
        <v>81</v>
      </c>
      <c r="B87" s="869"/>
      <c r="C87" s="870"/>
      <c r="D87" s="870"/>
      <c r="E87" s="871"/>
    </row>
    <row r="88" spans="1:5">
      <c r="A88" s="852">
        <v>82</v>
      </c>
      <c r="B88" s="869"/>
      <c r="C88" s="870"/>
      <c r="D88" s="870"/>
      <c r="E88" s="871"/>
    </row>
    <row r="89" spans="1:5">
      <c r="A89" s="852">
        <v>83</v>
      </c>
      <c r="B89" s="869"/>
      <c r="C89" s="870"/>
      <c r="D89" s="870"/>
      <c r="E89" s="871"/>
    </row>
    <row r="90" spans="1:5">
      <c r="A90" s="852">
        <v>84</v>
      </c>
      <c r="B90" s="869"/>
      <c r="C90" s="870"/>
      <c r="D90" s="870"/>
      <c r="E90" s="871"/>
    </row>
    <row r="91" spans="1:5">
      <c r="A91" s="852">
        <v>85</v>
      </c>
      <c r="B91" s="869"/>
      <c r="C91" s="870"/>
      <c r="D91" s="870"/>
      <c r="E91" s="873"/>
    </row>
    <row r="92" spans="1:5">
      <c r="A92" s="852">
        <v>86</v>
      </c>
      <c r="B92" s="869"/>
      <c r="C92" s="870"/>
      <c r="D92" s="870"/>
      <c r="E92" s="873"/>
    </row>
    <row r="93" spans="1:5">
      <c r="A93" s="852">
        <v>87</v>
      </c>
      <c r="B93" s="869"/>
      <c r="C93" s="870"/>
      <c r="D93" s="870"/>
      <c r="E93" s="873"/>
    </row>
    <row r="94" spans="1:5">
      <c r="A94" s="852">
        <v>88</v>
      </c>
      <c r="B94" s="869"/>
      <c r="C94" s="870"/>
      <c r="D94" s="870"/>
      <c r="E94" s="873"/>
    </row>
    <row r="95" spans="1:5">
      <c r="A95" s="852">
        <v>89</v>
      </c>
      <c r="B95" s="869"/>
      <c r="C95" s="870"/>
      <c r="D95" s="870"/>
      <c r="E95" s="873"/>
    </row>
    <row r="96" spans="1:5">
      <c r="A96" s="852">
        <v>90</v>
      </c>
      <c r="B96" s="869"/>
      <c r="C96" s="870"/>
      <c r="D96" s="870"/>
      <c r="E96" s="873"/>
    </row>
    <row r="97" spans="1:5">
      <c r="A97" s="852">
        <v>91</v>
      </c>
      <c r="B97" s="869"/>
      <c r="C97" s="870"/>
      <c r="D97" s="870"/>
      <c r="E97" s="873"/>
    </row>
    <row r="98" spans="1:5">
      <c r="A98" s="852">
        <v>92</v>
      </c>
      <c r="B98" s="869"/>
      <c r="C98" s="870"/>
      <c r="D98" s="870"/>
      <c r="E98" s="873"/>
    </row>
    <row r="99" spans="1:5">
      <c r="A99" s="852">
        <v>93</v>
      </c>
      <c r="B99" s="869"/>
      <c r="C99" s="870"/>
      <c r="D99" s="870"/>
      <c r="E99" s="873"/>
    </row>
    <row r="100" spans="1:5">
      <c r="A100" s="852">
        <v>94</v>
      </c>
      <c r="B100" s="869"/>
      <c r="C100" s="870"/>
      <c r="D100" s="870"/>
      <c r="E100" s="873"/>
    </row>
    <row r="101" spans="1:5">
      <c r="A101" s="852">
        <v>95</v>
      </c>
      <c r="B101" s="869"/>
      <c r="C101" s="870"/>
      <c r="D101" s="870"/>
      <c r="E101" s="873"/>
    </row>
    <row r="102" spans="1:5">
      <c r="A102" s="852">
        <v>96</v>
      </c>
      <c r="B102" s="869"/>
      <c r="C102" s="870"/>
      <c r="D102" s="870"/>
      <c r="E102" s="873"/>
    </row>
    <row r="103" spans="1:5">
      <c r="A103" s="852">
        <v>97</v>
      </c>
      <c r="B103" s="869"/>
      <c r="C103" s="870"/>
      <c r="D103" s="870"/>
      <c r="E103" s="871"/>
    </row>
    <row r="104" spans="1:5">
      <c r="A104" s="852">
        <v>98</v>
      </c>
      <c r="B104" s="869"/>
      <c r="C104" s="870"/>
      <c r="D104" s="870"/>
      <c r="E104" s="871"/>
    </row>
    <row r="105" spans="1:5">
      <c r="A105" s="852">
        <v>99</v>
      </c>
      <c r="B105" s="869"/>
      <c r="C105" s="870"/>
      <c r="D105" s="870"/>
      <c r="E105" s="871"/>
    </row>
    <row r="106" spans="1:5">
      <c r="A106" s="852">
        <v>100</v>
      </c>
      <c r="B106" s="869"/>
      <c r="C106" s="870"/>
      <c r="D106" s="870"/>
      <c r="E106" s="871"/>
    </row>
    <row r="107" spans="1:5">
      <c r="A107" s="852">
        <v>101</v>
      </c>
      <c r="B107" s="869"/>
      <c r="C107" s="870"/>
      <c r="D107" s="870"/>
      <c r="E107" s="871"/>
    </row>
    <row r="108" spans="1:5">
      <c r="A108" s="852">
        <v>102</v>
      </c>
      <c r="B108" s="869"/>
      <c r="C108" s="870"/>
      <c r="D108" s="870"/>
      <c r="E108" s="871"/>
    </row>
    <row r="109" spans="1:5">
      <c r="A109" s="852">
        <v>103</v>
      </c>
      <c r="B109" s="869"/>
      <c r="C109" s="870"/>
      <c r="D109" s="870"/>
      <c r="E109" s="871"/>
    </row>
    <row r="110" spans="1:5">
      <c r="A110" s="852">
        <v>104</v>
      </c>
      <c r="B110" s="869"/>
      <c r="C110" s="870"/>
      <c r="D110" s="870"/>
      <c r="E110" s="871"/>
    </row>
    <row r="111" spans="1:5">
      <c r="A111" s="852">
        <v>105</v>
      </c>
      <c r="B111" s="869"/>
      <c r="C111" s="870"/>
      <c r="D111" s="870"/>
      <c r="E111" s="871"/>
    </row>
    <row r="112" spans="1:5">
      <c r="A112" s="852">
        <v>106</v>
      </c>
      <c r="B112" s="869"/>
      <c r="C112" s="870"/>
      <c r="D112" s="870"/>
      <c r="E112" s="871"/>
    </row>
    <row r="113" spans="1:5">
      <c r="A113" s="852">
        <v>107</v>
      </c>
      <c r="B113" s="869"/>
      <c r="C113" s="870"/>
      <c r="D113" s="870"/>
      <c r="E113" s="871"/>
    </row>
    <row r="114" spans="1:5">
      <c r="A114" s="852">
        <v>108</v>
      </c>
      <c r="B114" s="869"/>
      <c r="C114" s="870"/>
      <c r="D114" s="870"/>
      <c r="E114" s="871"/>
    </row>
    <row r="115" spans="1:5">
      <c r="A115" s="852">
        <v>109</v>
      </c>
      <c r="B115" s="869"/>
      <c r="C115" s="870"/>
      <c r="D115" s="870"/>
      <c r="E115" s="871"/>
    </row>
    <row r="116" spans="1:5">
      <c r="A116" s="852">
        <v>110</v>
      </c>
      <c r="B116" s="869"/>
      <c r="C116" s="870"/>
      <c r="D116" s="870"/>
      <c r="E116" s="871"/>
    </row>
    <row r="117" spans="1:5">
      <c r="A117" s="852">
        <v>111</v>
      </c>
      <c r="B117" s="869"/>
      <c r="C117" s="870"/>
      <c r="D117" s="870"/>
      <c r="E117" s="871"/>
    </row>
    <row r="118" spans="1:5">
      <c r="A118" s="852">
        <v>112</v>
      </c>
      <c r="B118" s="869"/>
      <c r="C118" s="870"/>
      <c r="D118" s="870"/>
      <c r="E118" s="871"/>
    </row>
    <row r="119" spans="1:5">
      <c r="A119" s="852">
        <v>113</v>
      </c>
      <c r="B119" s="869"/>
      <c r="C119" s="870"/>
      <c r="D119" s="870"/>
      <c r="E119" s="871"/>
    </row>
    <row r="120" spans="1:5">
      <c r="A120" s="852">
        <v>114</v>
      </c>
      <c r="B120" s="869"/>
      <c r="C120" s="870"/>
      <c r="D120" s="870"/>
      <c r="E120" s="871"/>
    </row>
    <row r="121" spans="1:5">
      <c r="A121" s="852">
        <v>115</v>
      </c>
      <c r="B121" s="869"/>
      <c r="C121" s="870"/>
      <c r="D121" s="870"/>
      <c r="E121" s="871"/>
    </row>
    <row r="122" spans="1:5">
      <c r="A122" s="852">
        <v>116</v>
      </c>
      <c r="B122" s="869"/>
      <c r="C122" s="870"/>
      <c r="D122" s="870"/>
      <c r="E122" s="871"/>
    </row>
    <row r="123" spans="1:5">
      <c r="A123" s="852">
        <v>117</v>
      </c>
      <c r="B123" s="869"/>
      <c r="C123" s="870"/>
      <c r="D123" s="870"/>
      <c r="E123" s="871"/>
    </row>
    <row r="124" spans="1:5">
      <c r="A124" s="852">
        <v>118</v>
      </c>
      <c r="B124" s="869"/>
      <c r="C124" s="870"/>
      <c r="D124" s="870"/>
      <c r="E124" s="871"/>
    </row>
    <row r="125" spans="1:5">
      <c r="A125" s="852">
        <v>119</v>
      </c>
      <c r="B125" s="869"/>
      <c r="C125" s="870"/>
      <c r="D125" s="870"/>
      <c r="E125" s="871"/>
    </row>
    <row r="126" spans="1:5">
      <c r="A126" s="852">
        <v>120</v>
      </c>
      <c r="B126" s="869"/>
      <c r="C126" s="870"/>
      <c r="D126" s="870"/>
      <c r="E126" s="871"/>
    </row>
    <row r="127" spans="1:5">
      <c r="A127" s="852">
        <v>121</v>
      </c>
      <c r="B127" s="869"/>
      <c r="C127" s="870"/>
      <c r="D127" s="870"/>
      <c r="E127" s="871"/>
    </row>
    <row r="128" spans="1:5">
      <c r="A128" s="852">
        <v>122</v>
      </c>
      <c r="B128" s="869"/>
      <c r="C128" s="870"/>
      <c r="D128" s="870"/>
      <c r="E128" s="871"/>
    </row>
    <row r="129" spans="1:5">
      <c r="A129" s="852">
        <v>123</v>
      </c>
      <c r="B129" s="869"/>
      <c r="C129" s="870"/>
      <c r="D129" s="870"/>
      <c r="E129" s="871"/>
    </row>
    <row r="130" spans="1:5">
      <c r="A130" s="852">
        <v>124</v>
      </c>
      <c r="B130" s="869"/>
      <c r="C130" s="870"/>
      <c r="D130" s="871"/>
      <c r="E130" s="871"/>
    </row>
    <row r="131" spans="1:5">
      <c r="A131" s="852">
        <v>125</v>
      </c>
      <c r="B131" s="869"/>
      <c r="C131" s="870"/>
      <c r="D131" s="870"/>
      <c r="E131" s="871"/>
    </row>
    <row r="132" spans="1:5">
      <c r="A132" s="852">
        <v>126</v>
      </c>
      <c r="B132" s="869"/>
      <c r="C132" s="870"/>
      <c r="D132" s="870"/>
      <c r="E132" s="871"/>
    </row>
    <row r="133" spans="1:5">
      <c r="A133" s="852">
        <v>127</v>
      </c>
      <c r="B133" s="869"/>
      <c r="C133" s="870"/>
      <c r="D133" s="870"/>
      <c r="E133" s="871"/>
    </row>
    <row r="134" spans="1:5">
      <c r="A134" s="852">
        <v>128</v>
      </c>
      <c r="B134" s="876"/>
      <c r="C134" s="874"/>
      <c r="D134" s="874"/>
      <c r="E134" s="875"/>
    </row>
    <row r="135" spans="1:5">
      <c r="A135" s="852">
        <v>129</v>
      </c>
      <c r="B135" s="876"/>
      <c r="C135" s="874"/>
      <c r="D135" s="874"/>
      <c r="E135" s="875"/>
    </row>
    <row r="136" spans="1:5">
      <c r="A136" s="852">
        <v>130</v>
      </c>
      <c r="B136" s="876"/>
      <c r="C136" s="874"/>
      <c r="D136" s="874"/>
      <c r="E136" s="875"/>
    </row>
    <row r="137" spans="1:5">
      <c r="A137" s="852">
        <v>131</v>
      </c>
      <c r="B137" s="876"/>
      <c r="C137" s="874"/>
      <c r="D137" s="874"/>
      <c r="E137" s="875"/>
    </row>
    <row r="138" spans="1:5">
      <c r="A138" s="852">
        <v>132</v>
      </c>
      <c r="B138" s="876"/>
      <c r="C138" s="874"/>
      <c r="D138" s="874"/>
      <c r="E138" s="875"/>
    </row>
    <row r="139" spans="1:5">
      <c r="A139" s="852">
        <v>133</v>
      </c>
      <c r="B139" s="876"/>
      <c r="C139" s="874"/>
      <c r="D139" s="874"/>
      <c r="E139" s="875"/>
    </row>
    <row r="140" spans="1:5">
      <c r="A140" s="852">
        <v>134</v>
      </c>
      <c r="B140" s="876"/>
      <c r="C140" s="874"/>
      <c r="D140" s="874"/>
      <c r="E140" s="875"/>
    </row>
    <row r="141" spans="1:5">
      <c r="A141" s="852">
        <v>135</v>
      </c>
      <c r="B141" s="876"/>
      <c r="C141" s="874"/>
      <c r="D141" s="874"/>
      <c r="E141" s="875"/>
    </row>
    <row r="142" spans="1:5">
      <c r="A142" s="852">
        <v>136</v>
      </c>
      <c r="B142" s="876"/>
      <c r="C142" s="874"/>
      <c r="D142" s="874"/>
      <c r="E142" s="875"/>
    </row>
    <row r="143" spans="1:5">
      <c r="A143" s="852">
        <v>137</v>
      </c>
      <c r="B143" s="876"/>
      <c r="C143" s="874"/>
      <c r="D143" s="874"/>
      <c r="E143" s="875"/>
    </row>
    <row r="144" spans="1:5">
      <c r="A144" s="852">
        <v>138</v>
      </c>
      <c r="B144" s="876"/>
      <c r="C144" s="874"/>
      <c r="D144" s="874"/>
      <c r="E144" s="875"/>
    </row>
  </sheetData>
  <phoneticPr fontId="33" type="noConversion"/>
  <pageMargins left="0.7" right="0.7" top="0.75" bottom="0.75" header="0.3" footer="0.3"/>
  <pageSetup scale="64" fitToHeight="0" orientation="portrait" horizontalDpi="300" verticalDpi="300" r:id="rId1"/>
  <headerFooter>
    <oddHeader>&amp;CADDENDUM 27 TO ATTACHMENT H, Page &amp;P of &amp;N
NorthWestern Corporation (South Dakota)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dimension ref="A1:Q2936"/>
  <sheetViews>
    <sheetView topLeftCell="B250" zoomScale="70" zoomScaleNormal="70" workbookViewId="0">
      <selection activeCell="H264" sqref="H264"/>
    </sheetView>
  </sheetViews>
  <sheetFormatPr defaultColWidth="9.109375" defaultRowHeight="15"/>
  <cols>
    <col min="1" max="1" width="6.6640625" style="8" customWidth="1"/>
    <col min="2" max="2" width="3.44140625" style="6" customWidth="1"/>
    <col min="3" max="3" width="46.44140625" style="6" customWidth="1"/>
    <col min="4" max="4" width="47.109375" style="6" customWidth="1"/>
    <col min="5" max="5" width="16.33203125" style="10" customWidth="1"/>
    <col min="6" max="6" width="57.33203125" style="6" customWidth="1"/>
    <col min="7" max="7" width="1.6640625" style="6" customWidth="1"/>
    <col min="8" max="8" width="19.5546875" style="6" customWidth="1"/>
    <col min="9" max="9" width="4.109375" style="6" customWidth="1"/>
    <col min="10" max="10" width="17.5546875" style="6" bestFit="1" customWidth="1"/>
    <col min="11" max="14" width="9.109375" style="6"/>
    <col min="15" max="15" width="10.33203125" style="6" bestFit="1" customWidth="1"/>
    <col min="16" max="16384" width="9.109375" style="6"/>
  </cols>
  <sheetData>
    <row r="1" spans="1:10" ht="21" customHeight="1">
      <c r="A1" s="937" t="s">
        <v>717</v>
      </c>
      <c r="B1" s="938"/>
      <c r="C1" s="938"/>
      <c r="D1" s="938"/>
      <c r="E1" s="938"/>
      <c r="F1" s="938"/>
      <c r="G1" s="938"/>
      <c r="H1" s="938"/>
      <c r="I1" s="63"/>
    </row>
    <row r="2" spans="1:10" ht="25.5" customHeight="1">
      <c r="A2" s="939" t="str">
        <f>Inputs!B2</f>
        <v>(For Rate Year Beginning April 1, 2026, Based on December 31, 2025 Data)</v>
      </c>
      <c r="B2" s="939"/>
      <c r="C2" s="939"/>
      <c r="D2" s="939"/>
      <c r="E2" s="939"/>
      <c r="F2" s="939"/>
      <c r="G2" s="939"/>
      <c r="H2" s="939"/>
      <c r="I2" s="326"/>
    </row>
    <row r="3" spans="1:10" ht="7.2" customHeight="1" thickBot="1">
      <c r="A3" s="326"/>
      <c r="B3" s="326"/>
      <c r="C3" s="326"/>
      <c r="D3" s="326"/>
      <c r="E3" s="326"/>
      <c r="F3" s="326"/>
      <c r="G3" s="326"/>
      <c r="H3" s="326"/>
      <c r="I3" s="326"/>
    </row>
    <row r="4" spans="1:10" ht="6.6" customHeight="1">
      <c r="A4" s="27"/>
      <c r="C4" s="246"/>
      <c r="D4" s="940"/>
      <c r="E4" s="940"/>
      <c r="F4" s="941"/>
    </row>
    <row r="5" spans="1:10" s="1" customFormat="1" ht="23.4" customHeight="1" thickBot="1">
      <c r="A5" s="62"/>
      <c r="B5" s="28"/>
      <c r="C5" s="295"/>
      <c r="D5" s="296"/>
      <c r="E5" s="247" t="s">
        <v>141</v>
      </c>
      <c r="F5" s="248" t="s">
        <v>12</v>
      </c>
      <c r="H5" s="29"/>
    </row>
    <row r="6" spans="1:10" s="1" customFormat="1" ht="23.25" customHeight="1">
      <c r="A6" s="27" t="s">
        <v>409</v>
      </c>
      <c r="B6" s="28"/>
      <c r="E6" s="17"/>
      <c r="F6" s="29"/>
      <c r="H6" s="29"/>
    </row>
    <row r="7" spans="1:10" ht="15.6">
      <c r="A7" s="587" t="s">
        <v>459</v>
      </c>
      <c r="B7" s="588"/>
      <c r="C7" s="589"/>
      <c r="D7" s="589"/>
      <c r="E7" s="590"/>
      <c r="F7" s="589"/>
      <c r="G7" s="589"/>
      <c r="H7" s="591"/>
    </row>
    <row r="8" spans="1:10" ht="15.6">
      <c r="E8" s="17"/>
      <c r="H8" s="12"/>
    </row>
    <row r="9" spans="1:10" ht="15.6">
      <c r="A9" s="5"/>
      <c r="B9" s="1" t="s">
        <v>462</v>
      </c>
      <c r="E9" s="78"/>
      <c r="F9" s="77"/>
      <c r="G9" s="77"/>
      <c r="H9" s="77"/>
    </row>
    <row r="10" spans="1:10">
      <c r="A10" s="10">
        <v>1</v>
      </c>
      <c r="B10" s="10"/>
      <c r="C10" s="6" t="s">
        <v>439</v>
      </c>
      <c r="D10" s="8"/>
      <c r="F10" s="213" t="s">
        <v>670</v>
      </c>
      <c r="H10" s="44">
        <f>Inputs!D70</f>
        <v>910142</v>
      </c>
      <c r="J10" s="879"/>
    </row>
    <row r="11" spans="1:10">
      <c r="A11" s="10" t="s">
        <v>626</v>
      </c>
      <c r="C11" s="6" t="s">
        <v>633</v>
      </c>
      <c r="F11" s="8" t="s">
        <v>714</v>
      </c>
      <c r="H11" s="499">
        <f>'5-CostSupport'!G58</f>
        <v>0.35715415187229255</v>
      </c>
      <c r="J11" s="879"/>
    </row>
    <row r="12" spans="1:10">
      <c r="A12" s="10">
        <f>+A10+1</f>
        <v>2</v>
      </c>
      <c r="B12" s="10"/>
      <c r="C12" s="6" t="s">
        <v>440</v>
      </c>
      <c r="F12" s="6" t="s">
        <v>671</v>
      </c>
      <c r="H12" s="77">
        <f>Inputs!D72</f>
        <v>11595839</v>
      </c>
      <c r="I12" s="10"/>
      <c r="J12" s="879"/>
    </row>
    <row r="13" spans="1:10">
      <c r="A13" s="10">
        <f>+A12+1</f>
        <v>3</v>
      </c>
      <c r="B13" s="10"/>
      <c r="C13" s="6" t="s">
        <v>460</v>
      </c>
      <c r="F13" s="6" t="s">
        <v>672</v>
      </c>
      <c r="H13" s="77">
        <f>Inputs!D71</f>
        <v>4235040</v>
      </c>
      <c r="I13" s="10"/>
      <c r="J13" s="879"/>
    </row>
    <row r="14" spans="1:10">
      <c r="A14" s="10">
        <f>+A13+1</f>
        <v>4</v>
      </c>
      <c r="B14" s="10"/>
      <c r="C14" s="9" t="s">
        <v>247</v>
      </c>
      <c r="D14" s="297"/>
      <c r="E14" s="303"/>
      <c r="F14" s="297" t="str">
        <f>"(Line "&amp;A12&amp;" - Line "&amp;A13&amp;")"</f>
        <v>(Line 2 - Line 3)</v>
      </c>
      <c r="G14" s="9"/>
      <c r="H14" s="297">
        <f>H12-H13</f>
        <v>7360799</v>
      </c>
      <c r="J14" s="879"/>
    </row>
    <row r="15" spans="1:10">
      <c r="A15" s="10"/>
      <c r="B15" s="10"/>
      <c r="E15" s="78"/>
      <c r="H15" s="77"/>
      <c r="I15" s="10"/>
      <c r="J15" s="879"/>
    </row>
    <row r="16" spans="1:10" ht="16.2" thickBot="1">
      <c r="A16" s="10">
        <v>5</v>
      </c>
      <c r="B16" s="4" t="s">
        <v>482</v>
      </c>
      <c r="C16" s="4"/>
      <c r="D16" s="13"/>
      <c r="E16" s="298"/>
      <c r="F16" s="299" t="s">
        <v>634</v>
      </c>
      <c r="G16" s="13"/>
      <c r="H16" s="500">
        <f>(H10*H11)/H14</f>
        <v>4.4161101816983732E-2</v>
      </c>
      <c r="J16" s="879"/>
    </row>
    <row r="17" spans="1:17" ht="16.2" thickTop="1">
      <c r="A17" s="10"/>
      <c r="B17" s="10"/>
      <c r="C17" s="1"/>
      <c r="E17" s="78"/>
      <c r="H17" s="452"/>
      <c r="J17" s="879"/>
    </row>
    <row r="18" spans="1:17" ht="15.6">
      <c r="A18" s="10"/>
      <c r="B18" s="1" t="s">
        <v>490</v>
      </c>
      <c r="J18" s="879"/>
    </row>
    <row r="19" spans="1:17" ht="30">
      <c r="A19" s="10">
        <f>+A16+1</f>
        <v>6</v>
      </c>
      <c r="C19" s="6" t="s">
        <v>497</v>
      </c>
      <c r="F19" s="780" t="s">
        <v>1385</v>
      </c>
      <c r="H19" s="77">
        <f>Inputs!D40</f>
        <v>1160702692</v>
      </c>
      <c r="J19" s="879"/>
    </row>
    <row r="20" spans="1:17" ht="15" customHeight="1">
      <c r="A20" s="10">
        <f>A19+1</f>
        <v>7</v>
      </c>
      <c r="C20" s="6" t="s">
        <v>438</v>
      </c>
      <c r="F20" s="6" t="s">
        <v>673</v>
      </c>
      <c r="H20" s="77">
        <f>Inputs!D53</f>
        <v>426222281</v>
      </c>
      <c r="J20" s="879"/>
    </row>
    <row r="21" spans="1:17" ht="15" customHeight="1">
      <c r="A21" s="10">
        <f>+A20+1</f>
        <v>8</v>
      </c>
      <c r="C21" s="6" t="s">
        <v>367</v>
      </c>
      <c r="E21" s="10" t="s">
        <v>641</v>
      </c>
      <c r="F21" s="77" t="s">
        <v>0</v>
      </c>
      <c r="H21" s="77">
        <f>Inputs!D38</f>
        <v>691851</v>
      </c>
      <c r="J21" s="879"/>
    </row>
    <row r="22" spans="1:17">
      <c r="A22" s="10">
        <f>A21+1</f>
        <v>9</v>
      </c>
      <c r="C22" s="9" t="s">
        <v>461</v>
      </c>
      <c r="D22" s="9"/>
      <c r="E22" s="19"/>
      <c r="F22" s="297" t="str">
        <f>"(Line "&amp;A20&amp;" + "&amp;A21&amp;")"</f>
        <v>(Line 7 + 8)</v>
      </c>
      <c r="G22" s="9"/>
      <c r="H22" s="297">
        <f>SUM(H20:H21)</f>
        <v>426914132</v>
      </c>
      <c r="J22" s="879"/>
    </row>
    <row r="23" spans="1:17" ht="17.25" customHeight="1">
      <c r="A23" s="10"/>
      <c r="F23" s="77"/>
      <c r="H23" s="77"/>
      <c r="J23" s="879"/>
    </row>
    <row r="24" spans="1:17">
      <c r="A24" s="10">
        <f>+A22+1</f>
        <v>10</v>
      </c>
      <c r="C24" s="9" t="s">
        <v>486</v>
      </c>
      <c r="D24" s="9"/>
      <c r="E24" s="19"/>
      <c r="F24" s="297" t="str">
        <f>"(Line "&amp;A19&amp;" - Line "&amp;A22&amp;")"</f>
        <v>(Line 6 - Line 9)</v>
      </c>
      <c r="G24" s="9"/>
      <c r="H24" s="297">
        <f>H19-H22</f>
        <v>733788560</v>
      </c>
      <c r="J24" s="879"/>
    </row>
    <row r="25" spans="1:17">
      <c r="A25" s="10"/>
      <c r="J25" s="879"/>
    </row>
    <row r="26" spans="1:17">
      <c r="A26" s="10">
        <f>+A24+1</f>
        <v>11</v>
      </c>
      <c r="C26" s="6" t="s">
        <v>620</v>
      </c>
      <c r="F26" s="300" t="str">
        <f>"(Line "&amp;A52&amp;" - Line "&amp;A50&amp;")"</f>
        <v>(Line 27 - Line 26)</v>
      </c>
      <c r="H26" s="77">
        <f>H52-H50</f>
        <v>86462581.38925083</v>
      </c>
      <c r="J26" s="879"/>
    </row>
    <row r="27" spans="1:17" ht="16.2" thickBot="1">
      <c r="A27" s="10">
        <f>+A26+1</f>
        <v>12</v>
      </c>
      <c r="B27" s="4" t="s">
        <v>431</v>
      </c>
      <c r="C27" s="4"/>
      <c r="D27" s="13"/>
      <c r="E27" s="453"/>
      <c r="F27" s="299" t="str">
        <f>"(Line "&amp;A26&amp;" / Line "&amp;A19&amp;")"</f>
        <v>(Line 11 / Line 6)</v>
      </c>
      <c r="G27" s="13"/>
      <c r="H27" s="500">
        <f>H26/H19</f>
        <v>7.4491583404762904E-2</v>
      </c>
      <c r="J27" s="879"/>
    </row>
    <row r="28" spans="1:17" ht="15.6" thickTop="1">
      <c r="A28" s="10"/>
      <c r="J28" s="879"/>
    </row>
    <row r="29" spans="1:17">
      <c r="A29" s="10">
        <f>+A27+1</f>
        <v>13</v>
      </c>
      <c r="B29" s="10"/>
      <c r="C29" s="6" t="s">
        <v>621</v>
      </c>
      <c r="E29" s="78"/>
      <c r="F29" s="300" t="str">
        <f>"(Line "&amp;A66&amp;" - Line "&amp;A50&amp;")"</f>
        <v>(Line 35 - Line 26)</v>
      </c>
      <c r="H29" s="77">
        <f>H66-H50</f>
        <v>50461181.33901161</v>
      </c>
      <c r="J29" s="879"/>
    </row>
    <row r="30" spans="1:17" ht="16.2" thickBot="1">
      <c r="A30" s="10">
        <f>+A29+1</f>
        <v>14</v>
      </c>
      <c r="B30" s="4" t="s">
        <v>487</v>
      </c>
      <c r="C30" s="4"/>
      <c r="D30" s="13"/>
      <c r="E30" s="453"/>
      <c r="F30" s="299" t="str">
        <f>"(Line "&amp;A29&amp;" / Line "&amp;A24&amp;")"</f>
        <v>(Line 13 / Line 10)</v>
      </c>
      <c r="G30" s="13"/>
      <c r="H30" s="500">
        <f>H29/H24</f>
        <v>6.8768013144020132E-2</v>
      </c>
      <c r="J30" s="909"/>
      <c r="O30" s="681"/>
      <c r="Q30" s="491"/>
    </row>
    <row r="31" spans="1:17" ht="16.2" thickTop="1">
      <c r="A31" s="10"/>
      <c r="B31" s="1"/>
      <c r="C31" s="1"/>
      <c r="F31" s="77"/>
      <c r="H31" s="454"/>
      <c r="J31" s="879"/>
    </row>
    <row r="32" spans="1:17" ht="15.6">
      <c r="A32" s="10"/>
      <c r="B32" s="1" t="s">
        <v>232</v>
      </c>
      <c r="C32" s="1"/>
      <c r="F32" s="77"/>
      <c r="H32" s="454"/>
      <c r="J32" s="879"/>
    </row>
    <row r="33" spans="1:10" ht="30.6">
      <c r="A33" s="10">
        <v>15</v>
      </c>
      <c r="B33" s="1"/>
      <c r="C33" s="6" t="s">
        <v>233</v>
      </c>
      <c r="F33" s="781" t="s">
        <v>1386</v>
      </c>
      <c r="H33" s="222">
        <f>Inputs!D75</f>
        <v>65696102.5</v>
      </c>
      <c r="J33" s="879"/>
    </row>
    <row r="34" spans="1:10" ht="45.6">
      <c r="A34" s="10">
        <v>16</v>
      </c>
      <c r="B34" s="1"/>
      <c r="C34" s="20" t="s">
        <v>234</v>
      </c>
      <c r="D34" s="20"/>
      <c r="E34" s="18"/>
      <c r="F34" s="782" t="s">
        <v>1387</v>
      </c>
      <c r="G34" s="20"/>
      <c r="H34" s="223">
        <f>Inputs!D73+Inputs!D74</f>
        <v>67325707</v>
      </c>
      <c r="J34" s="879"/>
    </row>
    <row r="35" spans="1:10" ht="15.6">
      <c r="A35" s="10">
        <v>17</v>
      </c>
      <c r="B35" s="1"/>
      <c r="C35" s="20" t="s">
        <v>635</v>
      </c>
      <c r="D35" s="20"/>
      <c r="E35" s="18"/>
      <c r="F35" s="300" t="s">
        <v>674</v>
      </c>
      <c r="G35" s="20"/>
      <c r="H35" s="223">
        <f>Inputs!D121</f>
        <v>25193285.333490796</v>
      </c>
      <c r="J35" s="879"/>
    </row>
    <row r="36" spans="1:10" ht="15.6">
      <c r="A36" s="10">
        <v>18</v>
      </c>
      <c r="B36" s="1"/>
      <c r="C36" s="191" t="s">
        <v>235</v>
      </c>
      <c r="D36" s="191"/>
      <c r="E36" s="455"/>
      <c r="F36" s="301" t="str">
        <f>"(Line "&amp;A33&amp;" + Line "&amp;A34&amp;")"</f>
        <v>(Line 15 + Line 16)</v>
      </c>
      <c r="G36" s="191"/>
      <c r="H36" s="456">
        <f>SUM(H33:H34)</f>
        <v>133021809.5</v>
      </c>
      <c r="J36" s="879"/>
    </row>
    <row r="37" spans="1:10" ht="16.2" thickBot="1">
      <c r="A37" s="10">
        <v>19</v>
      </c>
      <c r="B37" s="1"/>
      <c r="C37" s="457" t="s">
        <v>414</v>
      </c>
      <c r="D37" s="458"/>
      <c r="E37" s="459"/>
      <c r="F37" s="302" t="s">
        <v>616</v>
      </c>
      <c r="G37" s="458"/>
      <c r="H37" s="501">
        <f>H35/H36</f>
        <v>0.18939214124500989</v>
      </c>
      <c r="J37" s="908"/>
    </row>
    <row r="38" spans="1:10" ht="16.2" thickTop="1">
      <c r="B38" s="10"/>
      <c r="C38" s="1"/>
      <c r="E38" s="78"/>
      <c r="H38" s="452"/>
      <c r="J38" s="879"/>
    </row>
    <row r="39" spans="1:10" ht="15.6">
      <c r="A39" s="587" t="s">
        <v>485</v>
      </c>
      <c r="B39" s="588"/>
      <c r="C39" s="589"/>
      <c r="D39" s="589"/>
      <c r="E39" s="590"/>
      <c r="F39" s="589"/>
      <c r="G39" s="589"/>
      <c r="H39" s="591"/>
      <c r="J39" s="879"/>
    </row>
    <row r="40" spans="1:10" ht="15.6">
      <c r="A40" s="10"/>
      <c r="B40" s="1"/>
      <c r="E40" s="17"/>
      <c r="H40" s="12"/>
      <c r="J40" s="879"/>
    </row>
    <row r="41" spans="1:10" ht="15.6">
      <c r="A41" s="10"/>
      <c r="B41" s="1" t="s">
        <v>464</v>
      </c>
      <c r="E41" s="78"/>
      <c r="F41" s="77"/>
      <c r="G41" s="5"/>
      <c r="H41" s="77"/>
      <c r="J41" s="879"/>
    </row>
    <row r="42" spans="1:10" ht="15.6">
      <c r="A42" s="10">
        <f>+A37+1</f>
        <v>20</v>
      </c>
      <c r="B42" s="10"/>
      <c r="C42" s="1" t="s">
        <v>617</v>
      </c>
      <c r="F42" s="77" t="s">
        <v>675</v>
      </c>
      <c r="H42" s="14">
        <f>+Inputs!D112</f>
        <v>85279144.388324827</v>
      </c>
      <c r="J42" s="879"/>
    </row>
    <row r="43" spans="1:10">
      <c r="A43" s="10"/>
      <c r="B43" s="10"/>
      <c r="F43" s="77"/>
      <c r="H43" s="77"/>
      <c r="J43" s="879"/>
    </row>
    <row r="44" spans="1:10" ht="30">
      <c r="A44" s="10">
        <f>A42+1</f>
        <v>21</v>
      </c>
      <c r="B44" s="10"/>
      <c r="C44" s="6" t="s">
        <v>327</v>
      </c>
      <c r="F44" s="781" t="s">
        <v>1388</v>
      </c>
      <c r="H44" s="77">
        <f>Inputs!D50</f>
        <v>25493666</v>
      </c>
      <c r="J44" s="879"/>
    </row>
    <row r="45" spans="1:10" ht="30">
      <c r="A45" s="10">
        <f>A44+1</f>
        <v>22</v>
      </c>
      <c r="B45" s="10"/>
      <c r="C45" s="6" t="s">
        <v>328</v>
      </c>
      <c r="F45" s="783" t="s">
        <v>1389</v>
      </c>
      <c r="H45" s="77">
        <f>Inputs!D39</f>
        <v>1304510.5</v>
      </c>
      <c r="J45" s="879"/>
    </row>
    <row r="46" spans="1:10" ht="16.5" customHeight="1">
      <c r="A46" s="10">
        <f>A45+1</f>
        <v>23</v>
      </c>
      <c r="B46" s="10"/>
      <c r="C46" s="9" t="s">
        <v>395</v>
      </c>
      <c r="D46" s="9"/>
      <c r="E46" s="19"/>
      <c r="F46" s="77" t="str">
        <f>"(Line "&amp;A44&amp;" + Line "&amp;A45&amp;")"</f>
        <v>(Line 21 + Line 22)</v>
      </c>
      <c r="G46" s="9"/>
      <c r="H46" s="297">
        <f>SUM(H44:H45)</f>
        <v>26798176.5</v>
      </c>
      <c r="J46" s="879"/>
    </row>
    <row r="47" spans="1:10" ht="15.6">
      <c r="A47" s="10">
        <f>A46+1</f>
        <v>24</v>
      </c>
      <c r="B47" s="10"/>
      <c r="C47" s="11" t="s">
        <v>248</v>
      </c>
      <c r="E47" s="78"/>
      <c r="F47" s="300" t="str">
        <f>"(Line "&amp;A$16&amp;")"</f>
        <v>(Line 5)</v>
      </c>
      <c r="G47" s="50"/>
      <c r="H47" s="312">
        <f>H16</f>
        <v>4.4161101816983732E-2</v>
      </c>
      <c r="J47" s="879"/>
    </row>
    <row r="48" spans="1:10" ht="15.6">
      <c r="A48" s="10">
        <f>+A47+1</f>
        <v>25</v>
      </c>
      <c r="C48" s="1" t="s">
        <v>396</v>
      </c>
      <c r="D48" s="9"/>
      <c r="E48" s="303"/>
      <c r="F48" s="77" t="str">
        <f>"(Line "&amp;A46&amp;" * Line "&amp;A47&amp;")"</f>
        <v>(Line 23 * Line 24)</v>
      </c>
      <c r="G48" s="9"/>
      <c r="H48" s="30">
        <f>H46*H47</f>
        <v>1183437.0009260008</v>
      </c>
      <c r="J48" s="879"/>
    </row>
    <row r="49" spans="1:10" ht="15.6">
      <c r="A49" s="10"/>
      <c r="C49" s="1"/>
      <c r="E49" s="18"/>
      <c r="F49" s="20"/>
      <c r="H49" s="77"/>
      <c r="J49" s="879"/>
    </row>
    <row r="50" spans="1:10" ht="15.6">
      <c r="A50" s="10">
        <f>A48+1</f>
        <v>26</v>
      </c>
      <c r="B50" s="10"/>
      <c r="C50" s="3" t="s">
        <v>312</v>
      </c>
      <c r="D50" s="9" t="s">
        <v>441</v>
      </c>
      <c r="E50" s="10" t="str">
        <f>"(Note "&amp;B$267&amp;")"</f>
        <v>(Note C)</v>
      </c>
      <c r="F50" s="243" t="s">
        <v>1772</v>
      </c>
      <c r="G50" s="9"/>
      <c r="H50" s="30">
        <f>+Inputs!D111</f>
        <v>0</v>
      </c>
      <c r="J50" s="879"/>
    </row>
    <row r="51" spans="1:10" ht="15.6">
      <c r="A51" s="10"/>
      <c r="C51" s="1"/>
      <c r="H51" s="77"/>
      <c r="J51" s="879"/>
    </row>
    <row r="52" spans="1:10" s="1" customFormat="1" ht="16.2" thickBot="1">
      <c r="A52" s="10">
        <f>+A50+1</f>
        <v>27</v>
      </c>
      <c r="B52" s="4" t="s">
        <v>422</v>
      </c>
      <c r="C52" s="4"/>
      <c r="D52" s="4"/>
      <c r="E52" s="57"/>
      <c r="F52" s="46" t="str">
        <f>"(Line "&amp;A42&amp;" + Line "&amp;A48&amp;" + Line "&amp;A50&amp;")"</f>
        <v>(Line 20 + Line 25 + Line 26)</v>
      </c>
      <c r="G52" s="4"/>
      <c r="H52" s="46">
        <f>H42+H48+H50</f>
        <v>86462581.38925083</v>
      </c>
      <c r="J52" s="879"/>
    </row>
    <row r="53" spans="1:10" ht="15.6" thickTop="1">
      <c r="A53" s="10"/>
      <c r="J53" s="879"/>
    </row>
    <row r="54" spans="1:10" ht="15.6">
      <c r="A54" s="10"/>
      <c r="B54" s="1" t="s">
        <v>456</v>
      </c>
      <c r="C54" s="1"/>
      <c r="D54" s="77"/>
      <c r="E54" s="78"/>
      <c r="F54" s="77"/>
      <c r="G54" s="460"/>
      <c r="H54" s="77"/>
      <c r="J54" s="879"/>
    </row>
    <row r="55" spans="1:10">
      <c r="A55" s="10"/>
      <c r="F55" s="77"/>
      <c r="G55" s="77"/>
      <c r="H55" s="77"/>
      <c r="J55" s="879"/>
    </row>
    <row r="56" spans="1:10" ht="15.6">
      <c r="A56" s="10">
        <f>+A52+1</f>
        <v>28</v>
      </c>
      <c r="B56" s="10"/>
      <c r="C56" s="6" t="s">
        <v>618</v>
      </c>
      <c r="E56" s="10" t="str">
        <f>"(Note "&amp;B$266&amp;")"</f>
        <v>(Note B)</v>
      </c>
      <c r="F56" s="77" t="s">
        <v>676</v>
      </c>
      <c r="H56" s="14">
        <f>Inputs!D113</f>
        <v>35519691.656922147</v>
      </c>
      <c r="J56" s="879"/>
    </row>
    <row r="57" spans="1:10">
      <c r="A57" s="10"/>
      <c r="B57" s="10"/>
      <c r="F57" s="77"/>
      <c r="H57" s="77"/>
      <c r="J57" s="879"/>
    </row>
    <row r="58" spans="1:10">
      <c r="A58" s="10">
        <f>A56+1</f>
        <v>29</v>
      </c>
      <c r="B58" s="10"/>
      <c r="C58" s="6" t="s">
        <v>366</v>
      </c>
      <c r="F58" s="77" t="s">
        <v>677</v>
      </c>
      <c r="H58" s="77">
        <f>Inputs!D52</f>
        <v>10216128.5</v>
      </c>
      <c r="J58" s="879"/>
    </row>
    <row r="59" spans="1:10">
      <c r="A59" s="10">
        <f>A58+1</f>
        <v>30</v>
      </c>
      <c r="B59" s="10"/>
      <c r="C59" s="20" t="str">
        <f>+C21</f>
        <v>Accumulated Intangible Amortization (Other Utility Plant)</v>
      </c>
      <c r="D59" s="20"/>
      <c r="E59" s="18"/>
      <c r="F59" s="300" t="str">
        <f>"(Line "&amp;A$21&amp;")"</f>
        <v>(Line 8)</v>
      </c>
      <c r="G59" s="20"/>
      <c r="H59" s="300">
        <f>H21</f>
        <v>691851</v>
      </c>
      <c r="J59" s="879"/>
    </row>
    <row r="60" spans="1:10">
      <c r="A60" s="10">
        <f>A59+1</f>
        <v>31</v>
      </c>
      <c r="B60" s="10"/>
      <c r="C60" s="9" t="s">
        <v>461</v>
      </c>
      <c r="E60" s="78"/>
      <c r="F60" s="77" t="str">
        <f>"(Line "&amp;A58&amp;" + "&amp;A59&amp;")"</f>
        <v>(Line 29 + 30)</v>
      </c>
      <c r="G60" s="77"/>
      <c r="H60" s="77">
        <f>SUM(H58:H59)</f>
        <v>10907979.5</v>
      </c>
      <c r="J60" s="879"/>
    </row>
    <row r="61" spans="1:10">
      <c r="A61" s="10">
        <f>+A60+1</f>
        <v>32</v>
      </c>
      <c r="B61" s="10"/>
      <c r="C61" s="6" t="str">
        <f>+C47</f>
        <v>Wage &amp; Salary Allocator</v>
      </c>
      <c r="E61" s="78"/>
      <c r="F61" s="300" t="str">
        <f>"(Line "&amp;A$16&amp;")"</f>
        <v>(Line 5)</v>
      </c>
      <c r="G61" s="77"/>
      <c r="H61" s="461">
        <f>H16</f>
        <v>4.4161101816983732E-2</v>
      </c>
      <c r="J61" s="879"/>
    </row>
    <row r="62" spans="1:10">
      <c r="A62" s="10">
        <f>+A61+1</f>
        <v>33</v>
      </c>
      <c r="C62" s="9" t="s">
        <v>394</v>
      </c>
      <c r="D62" s="9"/>
      <c r="E62" s="19"/>
      <c r="F62" s="77" t="str">
        <f>"(Line "&amp;A60&amp;" * Line "&amp;A61&amp;")"</f>
        <v>(Line 31 * Line 32)</v>
      </c>
      <c r="G62" s="9"/>
      <c r="H62" s="297">
        <f>H60*H61</f>
        <v>481708.39331707131</v>
      </c>
      <c r="J62" s="879"/>
    </row>
    <row r="63" spans="1:10">
      <c r="A63" s="10"/>
      <c r="F63" s="10"/>
      <c r="G63" s="10"/>
      <c r="H63" s="78"/>
      <c r="J63" s="879"/>
    </row>
    <row r="64" spans="1:10" ht="16.2" thickBot="1">
      <c r="A64" s="10">
        <f>A62+1</f>
        <v>34</v>
      </c>
      <c r="B64" s="4" t="s">
        <v>461</v>
      </c>
      <c r="C64" s="4"/>
      <c r="D64" s="4"/>
      <c r="E64" s="57"/>
      <c r="F64" s="462" t="str">
        <f>"(Sum Lines "&amp;A56&amp;" + "&amp;A62&amp;")"</f>
        <v>(Sum Lines 28 + 33)</v>
      </c>
      <c r="G64" s="462"/>
      <c r="H64" s="46">
        <f>H56+H62</f>
        <v>36001400.05023922</v>
      </c>
      <c r="J64" s="879"/>
    </row>
    <row r="65" spans="1:10" ht="15.6" thickTop="1">
      <c r="A65" s="10"/>
      <c r="J65" s="879"/>
    </row>
    <row r="66" spans="1:10" ht="16.2" thickBot="1">
      <c r="A66" s="10">
        <f>+A64+1</f>
        <v>35</v>
      </c>
      <c r="B66" s="4" t="s">
        <v>183</v>
      </c>
      <c r="C66" s="4"/>
      <c r="D66" s="4"/>
      <c r="E66" s="57"/>
      <c r="F66" s="46" t="str">
        <f>"(Line "&amp;A52&amp;" - Line "&amp;A64&amp;")"</f>
        <v>(Line 27 - Line 34)</v>
      </c>
      <c r="G66" s="4"/>
      <c r="H66" s="46">
        <f>H52-H64</f>
        <v>50461181.33901161</v>
      </c>
      <c r="J66" s="879"/>
    </row>
    <row r="67" spans="1:10" ht="16.2" thickTop="1">
      <c r="A67" s="10"/>
      <c r="B67" s="1"/>
      <c r="C67" s="1"/>
      <c r="D67" s="1"/>
      <c r="E67" s="5"/>
      <c r="F67" s="14"/>
      <c r="G67" s="1"/>
      <c r="H67" s="14"/>
      <c r="J67" s="879"/>
    </row>
    <row r="68" spans="1:10" ht="15.6">
      <c r="A68" s="587" t="s">
        <v>463</v>
      </c>
      <c r="B68" s="589"/>
      <c r="C68" s="589"/>
      <c r="D68" s="589"/>
      <c r="E68" s="590"/>
      <c r="F68" s="589"/>
      <c r="G68" s="589"/>
      <c r="H68" s="589"/>
      <c r="J68" s="879"/>
    </row>
    <row r="69" spans="1:10" ht="15.6">
      <c r="A69" s="463"/>
      <c r="B69" s="464"/>
      <c r="C69" s="464"/>
      <c r="D69" s="464"/>
      <c r="J69" s="879"/>
    </row>
    <row r="70" spans="1:10" ht="15.6">
      <c r="A70" s="10"/>
      <c r="B70" s="34" t="s">
        <v>362</v>
      </c>
      <c r="E70" s="7"/>
      <c r="H70" s="77"/>
      <c r="J70" s="879"/>
    </row>
    <row r="71" spans="1:10" ht="15.6">
      <c r="A71" s="10">
        <f>+A66+1</f>
        <v>36</v>
      </c>
      <c r="B71" s="34"/>
      <c r="C71" s="1" t="s">
        <v>175</v>
      </c>
      <c r="D71" s="8"/>
      <c r="F71" s="8" t="s">
        <v>1430</v>
      </c>
      <c r="H71" s="31">
        <f>'1-ADIT'!L53</f>
        <v>-6737006.4785053264</v>
      </c>
      <c r="J71" s="879"/>
    </row>
    <row r="72" spans="1:10" ht="15.6">
      <c r="A72" s="10"/>
      <c r="C72" s="34"/>
      <c r="H72" s="26"/>
      <c r="J72" s="879"/>
    </row>
    <row r="73" spans="1:10" ht="15.6">
      <c r="A73" s="5"/>
      <c r="B73" s="936" t="s">
        <v>1460</v>
      </c>
      <c r="C73" s="936"/>
      <c r="D73" s="936"/>
      <c r="H73" s="26"/>
      <c r="J73" s="879"/>
    </row>
    <row r="74" spans="1:10" ht="15.6">
      <c r="A74" s="10" t="s">
        <v>1254</v>
      </c>
      <c r="B74" s="34"/>
      <c r="C74" s="8" t="s">
        <v>1457</v>
      </c>
      <c r="F74" s="6" t="s">
        <v>1255</v>
      </c>
      <c r="H74" s="784">
        <f>+'1.5-RBAM Summary'!Q30</f>
        <v>262086.71755631352</v>
      </c>
      <c r="J74" s="879"/>
    </row>
    <row r="75" spans="1:10">
      <c r="A75" s="10" t="s">
        <v>1256</v>
      </c>
      <c r="C75" s="11" t="s">
        <v>1458</v>
      </c>
      <c r="D75" s="20"/>
      <c r="E75" s="18"/>
      <c r="F75" s="20" t="s">
        <v>1257</v>
      </c>
      <c r="G75" s="20"/>
      <c r="H75" s="785">
        <f>+'1.5-RBAM Summary'!Q54</f>
        <v>-1843789.2651683744</v>
      </c>
      <c r="J75" s="879"/>
    </row>
    <row r="76" spans="1:10" ht="15.6">
      <c r="A76" s="10" t="s">
        <v>1258</v>
      </c>
      <c r="C76" s="942" t="s">
        <v>1459</v>
      </c>
      <c r="D76" s="942"/>
      <c r="E76" s="942"/>
      <c r="F76" s="6" t="s">
        <v>1259</v>
      </c>
      <c r="H76" s="340">
        <f>SUM(H74:H75)</f>
        <v>-1581702.5476120608</v>
      </c>
      <c r="J76" s="879"/>
    </row>
    <row r="77" spans="1:10" ht="15.6">
      <c r="A77" s="10"/>
      <c r="C77" s="34"/>
      <c r="H77" s="26"/>
      <c r="J77" s="879"/>
    </row>
    <row r="78" spans="1:10" ht="15.6">
      <c r="A78" s="10"/>
      <c r="B78" s="34" t="s">
        <v>457</v>
      </c>
      <c r="C78" s="8"/>
      <c r="F78" s="304"/>
      <c r="G78" s="305"/>
      <c r="J78" s="879"/>
    </row>
    <row r="79" spans="1:10" ht="15.6">
      <c r="A79" s="10">
        <f>A71+1</f>
        <v>37</v>
      </c>
      <c r="B79" s="49"/>
      <c r="C79" s="8" t="s">
        <v>457</v>
      </c>
      <c r="D79" s="10"/>
      <c r="E79" s="10" t="str">
        <f>"(Note "&amp;B$265&amp;")"</f>
        <v>(Note A)</v>
      </c>
      <c r="F79" s="8" t="s">
        <v>3</v>
      </c>
      <c r="G79" s="305"/>
      <c r="H79" s="470">
        <f>'5-CostSupport'!J8</f>
        <v>784620.48118082655</v>
      </c>
      <c r="J79" s="879"/>
    </row>
    <row r="80" spans="1:10" ht="15.6">
      <c r="A80" s="10"/>
      <c r="B80" s="7"/>
      <c r="C80" s="8"/>
      <c r="F80" s="26"/>
      <c r="G80" s="305"/>
      <c r="H80" s="307"/>
      <c r="J80" s="879"/>
    </row>
    <row r="81" spans="1:10" ht="15.6">
      <c r="A81" s="10"/>
      <c r="B81" s="34" t="s">
        <v>455</v>
      </c>
      <c r="F81" s="26"/>
      <c r="G81" s="305"/>
      <c r="H81" s="307"/>
      <c r="J81" s="879"/>
    </row>
    <row r="82" spans="1:10">
      <c r="A82" s="10">
        <f>A79+1</f>
        <v>38</v>
      </c>
      <c r="C82" s="6" t="s">
        <v>158</v>
      </c>
      <c r="E82" s="10" t="str">
        <f>"(Note "&amp;B$265&amp;")"</f>
        <v>(Note A)</v>
      </c>
      <c r="F82" s="8" t="s">
        <v>899</v>
      </c>
      <c r="H82" s="306">
        <f>Inputs!D44</f>
        <v>0</v>
      </c>
      <c r="J82" s="879"/>
    </row>
    <row r="83" spans="1:10" ht="15.6">
      <c r="A83" s="10">
        <f>+A82+1</f>
        <v>39</v>
      </c>
      <c r="B83" s="7"/>
      <c r="C83" s="11" t="s">
        <v>248</v>
      </c>
      <c r="D83" s="11"/>
      <c r="E83" s="18"/>
      <c r="F83" s="300" t="str">
        <f>"(Line "&amp;A$16&amp;")"</f>
        <v>(Line 5)</v>
      </c>
      <c r="G83" s="309"/>
      <c r="H83" s="314">
        <f>H16</f>
        <v>4.4161101816983732E-2</v>
      </c>
      <c r="J83" s="879"/>
    </row>
    <row r="84" spans="1:10" ht="15.6">
      <c r="A84" s="10">
        <f>+A83+1</f>
        <v>40</v>
      </c>
      <c r="B84" s="7"/>
      <c r="C84" s="8" t="s">
        <v>249</v>
      </c>
      <c r="F84" s="77" t="str">
        <f>"(Line "&amp;A82&amp;" * Line "&amp;A83&amp;")"</f>
        <v>(Line 38 * Line 39)</v>
      </c>
      <c r="G84" s="305"/>
      <c r="H84" s="465">
        <f>H82*H83</f>
        <v>0</v>
      </c>
      <c r="J84" s="879"/>
    </row>
    <row r="85" spans="1:10" ht="15.6">
      <c r="A85" s="10">
        <f>A84+1</f>
        <v>41</v>
      </c>
      <c r="B85" s="7"/>
      <c r="C85" s="8" t="s">
        <v>448</v>
      </c>
      <c r="F85" s="11" t="s">
        <v>904</v>
      </c>
      <c r="G85" s="305"/>
      <c r="H85" s="26">
        <f>+'5-CostSupport'!J15</f>
        <v>1824930.9263435001</v>
      </c>
      <c r="J85" s="879"/>
    </row>
    <row r="86" spans="1:10" ht="18" customHeight="1">
      <c r="A86" s="10">
        <f>A85+1</f>
        <v>42</v>
      </c>
      <c r="B86" s="7"/>
      <c r="C86" s="3" t="s">
        <v>454</v>
      </c>
      <c r="D86" s="3"/>
      <c r="E86" s="466"/>
      <c r="F86" s="77" t="str">
        <f>"(Line "&amp;A84&amp;" + Line "&amp;A85&amp;")"</f>
        <v>(Line 40 + Line 41)</v>
      </c>
      <c r="G86" s="467"/>
      <c r="H86" s="30">
        <f>H84+H85</f>
        <v>1824930.9263435001</v>
      </c>
      <c r="J86" s="879"/>
    </row>
    <row r="87" spans="1:10" ht="15.6">
      <c r="A87" s="10"/>
      <c r="B87" s="7"/>
      <c r="C87" s="8"/>
      <c r="F87" s="26"/>
      <c r="G87" s="305"/>
      <c r="J87" s="879"/>
    </row>
    <row r="88" spans="1:10" ht="15.6">
      <c r="A88" s="10"/>
      <c r="B88" s="34" t="s">
        <v>458</v>
      </c>
      <c r="F88" s="305"/>
      <c r="G88" s="305"/>
      <c r="J88" s="879"/>
    </row>
    <row r="89" spans="1:10" ht="15.6">
      <c r="A89" s="10">
        <f>+A86+1</f>
        <v>43</v>
      </c>
      <c r="B89" s="7"/>
      <c r="C89" s="8" t="s">
        <v>403</v>
      </c>
      <c r="D89" s="8"/>
      <c r="F89" s="77" t="str">
        <f>"(Line "&amp;A$130&amp;")"</f>
        <v>(Line 66)</v>
      </c>
      <c r="G89" s="305"/>
      <c r="H89" s="26">
        <f>H130</f>
        <v>1172367.8913758555</v>
      </c>
      <c r="J89" s="879"/>
    </row>
    <row r="90" spans="1:10">
      <c r="A90" s="10">
        <f>+A89+1</f>
        <v>44</v>
      </c>
      <c r="B90" s="7"/>
      <c r="C90" s="8" t="s">
        <v>491</v>
      </c>
      <c r="D90" s="8"/>
      <c r="F90" s="11" t="s">
        <v>250</v>
      </c>
      <c r="H90" s="468">
        <f>1/8</f>
        <v>0.125</v>
      </c>
      <c r="J90" s="879"/>
    </row>
    <row r="91" spans="1:10" s="1" customFormat="1" ht="15.6">
      <c r="A91" s="10">
        <f>+A90+1</f>
        <v>45</v>
      </c>
      <c r="B91" s="50"/>
      <c r="C91" s="48" t="s">
        <v>447</v>
      </c>
      <c r="D91" s="48"/>
      <c r="E91" s="466"/>
      <c r="F91" s="77" t="str">
        <f>"(Line "&amp;A89&amp;" * Line "&amp;A90&amp;")"</f>
        <v>(Line 43 * Line 44)</v>
      </c>
      <c r="G91" s="3"/>
      <c r="H91" s="469">
        <f>H89*H90</f>
        <v>146545.98642198194</v>
      </c>
      <c r="J91" s="879"/>
    </row>
    <row r="92" spans="1:10" s="1" customFormat="1" ht="15.6">
      <c r="A92" s="10"/>
      <c r="B92" s="50"/>
      <c r="C92" s="34"/>
      <c r="D92" s="34"/>
      <c r="E92" s="5"/>
      <c r="F92" s="77"/>
      <c r="H92" s="470"/>
      <c r="J92" s="879"/>
    </row>
    <row r="93" spans="1:10" s="1" customFormat="1" ht="15.6">
      <c r="A93" s="10">
        <f>A91+1</f>
        <v>46</v>
      </c>
      <c r="B93" s="34" t="s">
        <v>138</v>
      </c>
      <c r="C93" s="34"/>
      <c r="D93" s="34"/>
      <c r="E93" s="5"/>
      <c r="F93" s="77" t="s">
        <v>4</v>
      </c>
      <c r="H93" s="340">
        <f>-'4-Non-EscrowedFunds'!O23</f>
        <v>-50377.314620901685</v>
      </c>
      <c r="J93" s="879"/>
    </row>
    <row r="94" spans="1:10" s="1" customFormat="1" ht="15.6">
      <c r="A94" s="10"/>
      <c r="B94" s="50"/>
      <c r="C94" s="34"/>
      <c r="D94" s="34"/>
      <c r="E94" s="5"/>
      <c r="F94" s="77"/>
      <c r="H94" s="470"/>
      <c r="J94" s="879"/>
    </row>
    <row r="95" spans="1:10" ht="16.2" thickBot="1">
      <c r="A95" s="10">
        <f>A93+1</f>
        <v>47</v>
      </c>
      <c r="B95" s="4" t="s">
        <v>184</v>
      </c>
      <c r="C95" s="4"/>
      <c r="D95" s="4"/>
      <c r="E95" s="57"/>
      <c r="F95" s="299" t="str">
        <f>"(Lines "&amp;A71&amp;" + "&amp;A76&amp;" + "&amp;A79&amp;" + "&amp;A86&amp;" + "&amp;A91&amp;" + "&amp;A93&amp;")"</f>
        <v>(Lines 36 + 36c + 37 + 42 + 45 + 46)</v>
      </c>
      <c r="G95" s="4"/>
      <c r="H95" s="786">
        <f>H71+H76+H79+H86+H91+H93</f>
        <v>-5612988.9467919813</v>
      </c>
      <c r="J95" s="879"/>
    </row>
    <row r="96" spans="1:10" ht="15.6" thickTop="1">
      <c r="A96" s="10"/>
      <c r="H96" s="77"/>
      <c r="J96" s="879"/>
    </row>
    <row r="97" spans="1:10" ht="16.2" thickBot="1">
      <c r="A97" s="10">
        <f>+A95+1</f>
        <v>48</v>
      </c>
      <c r="B97" s="4" t="s">
        <v>488</v>
      </c>
      <c r="C97" s="4"/>
      <c r="D97" s="4"/>
      <c r="E97" s="57"/>
      <c r="F97" s="299" t="str">
        <f>"(Line "&amp;A66&amp;" + Line "&amp;A95&amp;")"</f>
        <v>(Line 35 + Line 47)</v>
      </c>
      <c r="G97" s="4"/>
      <c r="H97" s="46">
        <f>H66+H95</f>
        <v>44848192.392219625</v>
      </c>
      <c r="J97" s="879"/>
    </row>
    <row r="98" spans="1:10" ht="16.2" thickTop="1">
      <c r="A98" s="10"/>
      <c r="B98" s="1"/>
      <c r="C98" s="1"/>
      <c r="D98" s="1"/>
      <c r="E98" s="5"/>
      <c r="F98" s="77"/>
      <c r="G98" s="1"/>
      <c r="H98" s="14"/>
      <c r="J98" s="879"/>
    </row>
    <row r="99" spans="1:10" ht="15.6">
      <c r="A99" s="10"/>
      <c r="B99" s="1"/>
      <c r="C99" s="1"/>
      <c r="D99" s="1"/>
      <c r="E99" s="5"/>
      <c r="F99" s="77"/>
      <c r="G99" s="1"/>
      <c r="H99" s="14"/>
      <c r="J99" s="879"/>
    </row>
    <row r="100" spans="1:10" ht="15.6">
      <c r="A100" s="10"/>
      <c r="B100" s="1"/>
      <c r="C100" s="1"/>
      <c r="D100" s="7" t="s">
        <v>506</v>
      </c>
      <c r="E100" s="5"/>
      <c r="F100" s="77"/>
      <c r="G100" s="1"/>
      <c r="H100" s="14"/>
      <c r="J100" s="879"/>
    </row>
    <row r="101" spans="1:10" ht="15.6">
      <c r="A101" s="10"/>
      <c r="B101" s="1"/>
      <c r="C101" s="1"/>
      <c r="D101" s="7" t="s">
        <v>42</v>
      </c>
      <c r="E101" s="5"/>
      <c r="F101" s="77"/>
      <c r="G101" s="1"/>
      <c r="H101" s="14"/>
      <c r="J101" s="879"/>
    </row>
    <row r="102" spans="1:10" ht="21">
      <c r="A102" s="937" t="s">
        <v>717</v>
      </c>
      <c r="B102" s="938"/>
      <c r="C102" s="938"/>
      <c r="D102" s="938"/>
      <c r="E102" s="938"/>
      <c r="F102" s="938"/>
      <c r="G102" s="938"/>
      <c r="H102" s="938"/>
      <c r="I102" s="63"/>
      <c r="J102" s="879"/>
    </row>
    <row r="103" spans="1:10" ht="20.399999999999999">
      <c r="A103" s="939" t="str">
        <f>$A$2</f>
        <v>(For Rate Year Beginning April 1, 2026, Based on December 31, 2025 Data)</v>
      </c>
      <c r="B103" s="939"/>
      <c r="C103" s="939"/>
      <c r="D103" s="939"/>
      <c r="E103" s="939"/>
      <c r="F103" s="939"/>
      <c r="G103" s="939"/>
      <c r="H103" s="939"/>
      <c r="I103" s="326"/>
      <c r="J103" s="879"/>
    </row>
    <row r="104" spans="1:10" ht="20.399999999999999">
      <c r="A104" s="200"/>
      <c r="B104" s="200"/>
      <c r="C104" s="200"/>
      <c r="D104" s="200"/>
      <c r="E104" s="200"/>
      <c r="F104" s="200"/>
      <c r="G104" s="200"/>
      <c r="H104" s="200"/>
      <c r="I104" s="326"/>
      <c r="J104" s="879"/>
    </row>
    <row r="105" spans="1:10" ht="15.6">
      <c r="A105" s="592" t="s">
        <v>251</v>
      </c>
      <c r="B105" s="593"/>
      <c r="C105" s="587"/>
      <c r="D105" s="589"/>
      <c r="E105" s="590"/>
      <c r="F105" s="589"/>
      <c r="G105" s="589"/>
      <c r="H105" s="591"/>
      <c r="J105" s="879"/>
    </row>
    <row r="106" spans="1:10" ht="15.6">
      <c r="A106" s="6"/>
      <c r="E106" s="17"/>
      <c r="H106" s="12"/>
      <c r="J106" s="879"/>
    </row>
    <row r="107" spans="1:10" ht="15.6">
      <c r="A107" s="10"/>
      <c r="B107" s="1" t="s">
        <v>481</v>
      </c>
      <c r="D107" s="77"/>
      <c r="E107" s="78"/>
      <c r="G107" s="77"/>
      <c r="H107" s="77"/>
      <c r="J107" s="879"/>
    </row>
    <row r="108" spans="1:10" ht="15.6">
      <c r="A108" s="10">
        <f>+A97+1</f>
        <v>49</v>
      </c>
      <c r="B108" s="10"/>
      <c r="C108" s="6" t="s">
        <v>636</v>
      </c>
      <c r="F108" s="77" t="s">
        <v>5</v>
      </c>
      <c r="G108" s="5"/>
      <c r="H108" s="77">
        <f>+'5-CostSupport'!J45</f>
        <v>8211856.4794532824</v>
      </c>
      <c r="I108" s="44"/>
      <c r="J108" s="879"/>
    </row>
    <row r="109" spans="1:10">
      <c r="A109" s="10">
        <f>A108+1</f>
        <v>50</v>
      </c>
      <c r="B109" s="10"/>
      <c r="C109" s="6" t="s">
        <v>637</v>
      </c>
      <c r="F109" s="77" t="s">
        <v>6</v>
      </c>
      <c r="H109" s="77">
        <f>+'5-CostSupport'!J47</f>
        <v>7644003.8786879051</v>
      </c>
      <c r="J109" s="879"/>
    </row>
    <row r="110" spans="1:10">
      <c r="A110" s="10">
        <f>A109+1</f>
        <v>51</v>
      </c>
      <c r="B110" s="10"/>
      <c r="C110" s="6" t="s">
        <v>701</v>
      </c>
      <c r="F110" s="77"/>
      <c r="H110" s="381"/>
      <c r="J110" s="879"/>
    </row>
    <row r="111" spans="1:10">
      <c r="A111" s="10">
        <f>A110+1</f>
        <v>52</v>
      </c>
      <c r="B111" s="10"/>
      <c r="C111" s="20" t="s">
        <v>388</v>
      </c>
      <c r="D111" s="300"/>
      <c r="E111" s="18"/>
      <c r="F111" s="300" t="s">
        <v>7</v>
      </c>
      <c r="G111" s="20"/>
      <c r="H111" s="300">
        <f>'5-CostSupport'!G49</f>
        <v>0</v>
      </c>
      <c r="J111" s="879"/>
    </row>
    <row r="112" spans="1:10" ht="15.6">
      <c r="A112" s="10">
        <f>A111+1</f>
        <v>53</v>
      </c>
      <c r="C112" s="1" t="s">
        <v>481</v>
      </c>
      <c r="F112" s="77" t="s">
        <v>700</v>
      </c>
      <c r="H112" s="14">
        <f>+(H108-H109)</f>
        <v>567852.60076537728</v>
      </c>
      <c r="J112" s="879"/>
    </row>
    <row r="113" spans="1:10" ht="15.6">
      <c r="A113" s="10"/>
      <c r="B113" s="10"/>
      <c r="C113" s="1"/>
      <c r="E113" s="78"/>
      <c r="H113" s="452"/>
      <c r="J113" s="879"/>
    </row>
    <row r="114" spans="1:10" ht="15.6">
      <c r="A114" s="10"/>
      <c r="B114" s="1" t="s">
        <v>397</v>
      </c>
      <c r="E114" s="78"/>
      <c r="H114" s="452"/>
      <c r="J114" s="879"/>
    </row>
    <row r="115" spans="1:10" ht="30">
      <c r="A115" s="10">
        <f>A112+1</f>
        <v>54</v>
      </c>
      <c r="B115" s="10"/>
      <c r="C115" s="6" t="s">
        <v>484</v>
      </c>
      <c r="F115" s="781" t="s">
        <v>1390</v>
      </c>
      <c r="H115" s="77">
        <f>Inputs!D59</f>
        <v>13649755</v>
      </c>
      <c r="J115" s="879"/>
    </row>
    <row r="116" spans="1:10" ht="15.6">
      <c r="A116" s="10">
        <f>A115+1</f>
        <v>55</v>
      </c>
      <c r="B116" s="10"/>
      <c r="C116" s="6" t="s">
        <v>701</v>
      </c>
      <c r="F116" s="77"/>
      <c r="H116" s="14"/>
      <c r="J116" s="879"/>
    </row>
    <row r="117" spans="1:10">
      <c r="A117" s="10">
        <f t="shared" ref="A117:A123" si="0">+A116+1</f>
        <v>56</v>
      </c>
      <c r="B117" s="10"/>
      <c r="C117" s="6" t="s">
        <v>701</v>
      </c>
      <c r="F117" s="77"/>
      <c r="H117" s="77"/>
      <c r="J117" s="879"/>
    </row>
    <row r="118" spans="1:10">
      <c r="A118" s="10">
        <f>A117+1</f>
        <v>57</v>
      </c>
      <c r="B118" s="10"/>
      <c r="C118" s="6" t="s">
        <v>701</v>
      </c>
      <c r="D118" s="77"/>
      <c r="H118" s="77"/>
      <c r="J118" s="879"/>
    </row>
    <row r="119" spans="1:10" ht="30">
      <c r="A119" s="10">
        <f t="shared" si="0"/>
        <v>58</v>
      </c>
      <c r="B119" s="10"/>
      <c r="C119" s="6" t="s">
        <v>144</v>
      </c>
      <c r="D119" s="77"/>
      <c r="E119" s="10" t="str">
        <f>"(Note "&amp;B$268&amp;")"</f>
        <v>(Note D)</v>
      </c>
      <c r="F119" s="780" t="s">
        <v>1391</v>
      </c>
      <c r="H119" s="77">
        <f>Inputs!D57</f>
        <v>0</v>
      </c>
      <c r="J119" s="879"/>
    </row>
    <row r="120" spans="1:10" ht="30">
      <c r="A120" s="10">
        <f t="shared" si="0"/>
        <v>59</v>
      </c>
      <c r="B120" s="10"/>
      <c r="C120" s="20" t="s">
        <v>147</v>
      </c>
      <c r="D120" s="300"/>
      <c r="E120" s="18"/>
      <c r="F120" s="787" t="s">
        <v>1392</v>
      </c>
      <c r="G120" s="20"/>
      <c r="H120" s="300">
        <f>Inputs!D58</f>
        <v>101251</v>
      </c>
      <c r="J120" s="879"/>
    </row>
    <row r="121" spans="1:10">
      <c r="A121" s="10">
        <f>+A120+1</f>
        <v>60</v>
      </c>
      <c r="B121" s="10"/>
      <c r="C121" s="6" t="s">
        <v>398</v>
      </c>
      <c r="E121" s="78"/>
      <c r="F121" s="77" t="str">
        <f>"Sum (Lines "&amp;A115&amp;" to "&amp;A116&amp;") -  Sum (Lines "&amp;A117&amp;" to "&amp;A120&amp;")"</f>
        <v>Sum (Lines 54 to 55) -  Sum (Lines 56 to 59)</v>
      </c>
      <c r="H121" s="77">
        <f>SUM(H115+H116)-SUM(+H117+H118+H119+H120)</f>
        <v>13548504</v>
      </c>
      <c r="J121" s="879"/>
    </row>
    <row r="122" spans="1:10" ht="15.6">
      <c r="A122" s="10">
        <f>+A121+1</f>
        <v>61</v>
      </c>
      <c r="B122" s="10"/>
      <c r="C122" s="11" t="s">
        <v>248</v>
      </c>
      <c r="D122" s="8"/>
      <c r="F122" s="20" t="str">
        <f>"(Line "&amp;A$16&amp;")"</f>
        <v>(Line 5)</v>
      </c>
      <c r="G122" s="305"/>
      <c r="H122" s="314">
        <f>H16</f>
        <v>4.4161101816983732E-2</v>
      </c>
      <c r="J122" s="879"/>
    </row>
    <row r="123" spans="1:10" ht="15.6">
      <c r="A123" s="10">
        <f t="shared" si="0"/>
        <v>62</v>
      </c>
      <c r="B123" s="10"/>
      <c r="C123" s="3" t="s">
        <v>399</v>
      </c>
      <c r="D123" s="9"/>
      <c r="E123" s="303"/>
      <c r="F123" s="77" t="str">
        <f>"(Line "&amp;A121&amp;" * Line "&amp;A122&amp;")"</f>
        <v>(Line 60 * Line 61)</v>
      </c>
      <c r="G123" s="9"/>
      <c r="H123" s="30">
        <f>H121*H122</f>
        <v>598316.86461181135</v>
      </c>
      <c r="J123" s="879"/>
    </row>
    <row r="124" spans="1:10" ht="15.6">
      <c r="A124" s="10"/>
      <c r="B124" s="10"/>
      <c r="C124" s="1"/>
      <c r="E124" s="78"/>
      <c r="H124" s="77"/>
      <c r="J124" s="879"/>
    </row>
    <row r="125" spans="1:10" ht="15.6">
      <c r="A125" s="10"/>
      <c r="B125" s="1" t="s">
        <v>449</v>
      </c>
      <c r="E125" s="78"/>
      <c r="H125" s="77"/>
      <c r="J125" s="879"/>
    </row>
    <row r="126" spans="1:10">
      <c r="A126" s="10">
        <f>+A123+1</f>
        <v>63</v>
      </c>
      <c r="B126" s="7"/>
      <c r="C126" s="8" t="s">
        <v>148</v>
      </c>
      <c r="D126" s="8"/>
      <c r="E126" s="10" t="str">
        <f>"(Note "&amp;B$270&amp;")"</f>
        <v>(Note F)</v>
      </c>
      <c r="F126" s="77" t="s">
        <v>8</v>
      </c>
      <c r="H126" s="26">
        <f>'5-CostSupport'!J20</f>
        <v>0</v>
      </c>
      <c r="J126" s="879"/>
    </row>
    <row r="127" spans="1:10">
      <c r="A127" s="10">
        <f>+A126+1</f>
        <v>64</v>
      </c>
      <c r="B127" s="7"/>
      <c r="C127" s="11" t="s">
        <v>715</v>
      </c>
      <c r="D127" s="20" t="s">
        <v>441</v>
      </c>
      <c r="E127" s="18" t="str">
        <f>"(Note "&amp;B$269&amp;")"</f>
        <v>(Note E)</v>
      </c>
      <c r="F127" s="300" t="s">
        <v>9</v>
      </c>
      <c r="G127" s="20"/>
      <c r="H127" s="308">
        <f>'5-CostSupport'!J25</f>
        <v>6198.4259986666839</v>
      </c>
      <c r="J127" s="879"/>
    </row>
    <row r="128" spans="1:10" ht="15.6">
      <c r="A128" s="10">
        <f>+A127+1</f>
        <v>65</v>
      </c>
      <c r="B128" s="7"/>
      <c r="C128" s="34" t="s">
        <v>413</v>
      </c>
      <c r="F128" s="77" t="str">
        <f>"(Line "&amp;A126&amp;" + Line "&amp;A127&amp;")"</f>
        <v>(Line 63 + Line 64)</v>
      </c>
      <c r="H128" s="470">
        <f>SUM(H126:H127)</f>
        <v>6198.4259986666839</v>
      </c>
      <c r="J128" s="879"/>
    </row>
    <row r="129" spans="1:10" ht="15.6">
      <c r="A129" s="10"/>
      <c r="B129" s="7"/>
      <c r="C129" s="8"/>
      <c r="F129" s="8"/>
      <c r="H129" s="305"/>
      <c r="J129" s="879"/>
    </row>
    <row r="130" spans="1:10" ht="16.2" thickBot="1">
      <c r="A130" s="10">
        <f>A128+1</f>
        <v>66</v>
      </c>
      <c r="B130" s="10"/>
      <c r="C130" s="4" t="s">
        <v>483</v>
      </c>
      <c r="D130" s="13"/>
      <c r="E130" s="298"/>
      <c r="F130" s="46" t="str">
        <f>"(Lines "&amp;A112&amp;" + "&amp;A123&amp;" + "&amp;A128&amp;")"</f>
        <v>(Lines 53 + 62 + 65)</v>
      </c>
      <c r="G130" s="13"/>
      <c r="H130" s="46">
        <f>H112+H123+H128</f>
        <v>1172367.8913758555</v>
      </c>
      <c r="J130" s="879"/>
    </row>
    <row r="131" spans="1:10" ht="16.2" thickTop="1">
      <c r="A131" s="10"/>
      <c r="B131" s="10"/>
      <c r="C131" s="1"/>
      <c r="E131" s="78"/>
      <c r="F131" s="14"/>
      <c r="H131" s="14"/>
      <c r="J131" s="879"/>
    </row>
    <row r="132" spans="1:10" ht="15.6">
      <c r="A132" s="592" t="s">
        <v>479</v>
      </c>
      <c r="B132" s="593"/>
      <c r="C132" s="587"/>
      <c r="D132" s="589"/>
      <c r="E132" s="590"/>
      <c r="F132" s="589"/>
      <c r="G132" s="589"/>
      <c r="H132" s="591"/>
      <c r="J132" s="879"/>
    </row>
    <row r="133" spans="1:10" ht="15.6">
      <c r="A133" s="1"/>
      <c r="B133" s="10"/>
      <c r="C133" s="1"/>
      <c r="E133" s="78"/>
      <c r="H133" s="452"/>
      <c r="J133" s="879"/>
    </row>
    <row r="134" spans="1:10" ht="15.6">
      <c r="A134" s="10"/>
      <c r="B134" s="34" t="s">
        <v>437</v>
      </c>
      <c r="F134" s="7"/>
      <c r="G134" s="7"/>
      <c r="H134" s="307"/>
      <c r="J134" s="879"/>
    </row>
    <row r="135" spans="1:10" ht="15.6">
      <c r="A135" s="10">
        <f>+A130+1</f>
        <v>67</v>
      </c>
      <c r="B135" s="7"/>
      <c r="C135" s="8" t="s">
        <v>613</v>
      </c>
      <c r="E135" s="10" t="str">
        <f>"(Note "&amp;B$266&amp;")"</f>
        <v>(Note B)</v>
      </c>
      <c r="F135" s="8" t="s">
        <v>678</v>
      </c>
      <c r="H135" s="470">
        <f>+Inputs!D120</f>
        <v>2272715.0992078166</v>
      </c>
      <c r="J135" s="879"/>
    </row>
    <row r="136" spans="1:10" ht="15.6">
      <c r="A136" s="10"/>
      <c r="B136" s="7"/>
      <c r="C136" s="8"/>
      <c r="F136" s="8"/>
      <c r="G136" s="305"/>
      <c r="H136" s="307"/>
      <c r="J136" s="879"/>
    </row>
    <row r="137" spans="1:10">
      <c r="A137" s="10">
        <f>+A135+1</f>
        <v>68</v>
      </c>
      <c r="B137" s="7"/>
      <c r="C137" s="8" t="s">
        <v>401</v>
      </c>
      <c r="F137" s="8" t="s">
        <v>679</v>
      </c>
      <c r="H137" s="26">
        <f>Inputs!D67+Inputs!D68+Inputs!D69</f>
        <v>1134768</v>
      </c>
      <c r="J137" s="879"/>
    </row>
    <row r="138" spans="1:10">
      <c r="A138" s="10">
        <f>A137+1</f>
        <v>69</v>
      </c>
      <c r="B138" s="7"/>
      <c r="C138" s="11" t="s">
        <v>465</v>
      </c>
      <c r="D138" s="20"/>
      <c r="E138" s="18" t="s">
        <v>641</v>
      </c>
      <c r="F138" s="11" t="s">
        <v>680</v>
      </c>
      <c r="G138" s="20"/>
      <c r="H138" s="308">
        <f>Inputs!D62+Inputs!D63+Inputs!D60+Inputs!D61</f>
        <v>274185</v>
      </c>
      <c r="J138" s="879"/>
    </row>
    <row r="139" spans="1:10">
      <c r="A139" s="10">
        <f>+A138+1</f>
        <v>70</v>
      </c>
      <c r="B139" s="7"/>
      <c r="C139" s="8" t="s">
        <v>492</v>
      </c>
      <c r="F139" s="77" t="str">
        <f>"(Line "&amp;A137&amp;" + Line "&amp;A138&amp;")"</f>
        <v>(Line 68 + Line 69)</v>
      </c>
      <c r="H139" s="26">
        <f>SUM(H137:H138)</f>
        <v>1408953</v>
      </c>
      <c r="J139" s="879"/>
    </row>
    <row r="140" spans="1:10" ht="15.6">
      <c r="A140" s="10">
        <f>+A139+1</f>
        <v>71</v>
      </c>
      <c r="B140" s="7"/>
      <c r="C140" s="11" t="s">
        <v>248</v>
      </c>
      <c r="D140" s="11"/>
      <c r="E140" s="18"/>
      <c r="F140" s="20" t="str">
        <f>"(Line "&amp;A$16&amp;")"</f>
        <v>(Line 5)</v>
      </c>
      <c r="G140" s="309"/>
      <c r="H140" s="502">
        <f>H16</f>
        <v>4.4161101816983732E-2</v>
      </c>
      <c r="J140" s="879"/>
    </row>
    <row r="141" spans="1:10" ht="15.6">
      <c r="A141" s="10">
        <f>+A140+1</f>
        <v>72</v>
      </c>
      <c r="B141" s="7"/>
      <c r="C141" s="34" t="s">
        <v>400</v>
      </c>
      <c r="F141" s="77" t="str">
        <f>"(Line "&amp;A139&amp;" * Line "&amp;A140&amp;")"</f>
        <v>(Line 70 * Line 71)</v>
      </c>
      <c r="G141" s="305"/>
      <c r="H141" s="470">
        <f>H139*H140</f>
        <v>62220.916888344676</v>
      </c>
      <c r="J141" s="879"/>
    </row>
    <row r="142" spans="1:10" ht="15.6">
      <c r="A142" s="10"/>
      <c r="B142" s="7"/>
      <c r="C142" s="8"/>
      <c r="F142" s="77"/>
      <c r="G142" s="305"/>
      <c r="H142" s="26"/>
      <c r="J142" s="879"/>
    </row>
    <row r="143" spans="1:10" s="1" customFormat="1" ht="16.2" thickBot="1">
      <c r="A143" s="10">
        <f>A141+1</f>
        <v>73</v>
      </c>
      <c r="B143" s="462" t="s">
        <v>480</v>
      </c>
      <c r="C143" s="462"/>
      <c r="D143" s="4"/>
      <c r="E143" s="57"/>
      <c r="F143" s="46" t="str">
        <f>"(Lines "&amp;A135&amp;" + "&amp;A141&amp;")"</f>
        <v>(Lines 67 + 72)</v>
      </c>
      <c r="G143" s="471"/>
      <c r="H143" s="503">
        <f>H135+H141</f>
        <v>2334936.0160961612</v>
      </c>
      <c r="J143" s="879"/>
    </row>
    <row r="144" spans="1:10" ht="15.6" thickTop="1">
      <c r="J144" s="879"/>
    </row>
    <row r="145" spans="1:10" ht="15.6">
      <c r="A145" s="587" t="s">
        <v>253</v>
      </c>
      <c r="B145" s="588"/>
      <c r="C145" s="587"/>
      <c r="D145" s="589"/>
      <c r="E145" s="594"/>
      <c r="F145" s="589"/>
      <c r="G145" s="589"/>
      <c r="H145" s="591"/>
      <c r="J145" s="879"/>
    </row>
    <row r="146" spans="1:10" ht="15.6">
      <c r="A146" s="463"/>
      <c r="B146" s="10"/>
      <c r="C146" s="1"/>
      <c r="E146" s="78"/>
      <c r="H146" s="452"/>
      <c r="J146" s="879"/>
    </row>
    <row r="147" spans="1:10" ht="15.6">
      <c r="A147" s="10">
        <f>+A143+1</f>
        <v>74</v>
      </c>
      <c r="B147" s="34" t="s">
        <v>254</v>
      </c>
      <c r="C147" s="49"/>
      <c r="F147" s="6" t="s">
        <v>30</v>
      </c>
      <c r="H147" s="45">
        <f>'2-OtherTaxes'!G39</f>
        <v>420701.86116179236</v>
      </c>
      <c r="I147" s="45"/>
      <c r="J147" s="879"/>
    </row>
    <row r="148" spans="1:10">
      <c r="A148" s="10"/>
      <c r="F148" s="8"/>
      <c r="J148" s="879"/>
    </row>
    <row r="149" spans="1:10" ht="16.2" thickBot="1">
      <c r="A149" s="10">
        <f>+A147+1</f>
        <v>75</v>
      </c>
      <c r="B149" s="4" t="s">
        <v>255</v>
      </c>
      <c r="C149" s="4"/>
      <c r="D149" s="4"/>
      <c r="E149" s="57"/>
      <c r="F149" s="46" t="str">
        <f>"(Line "&amp;A147&amp;")"</f>
        <v>(Line 74)</v>
      </c>
      <c r="G149" s="4"/>
      <c r="H149" s="46">
        <f>H147</f>
        <v>420701.86116179236</v>
      </c>
      <c r="J149" s="879"/>
    </row>
    <row r="150" spans="1:10" ht="15.6" thickTop="1">
      <c r="A150" s="10"/>
      <c r="J150" s="879"/>
    </row>
    <row r="151" spans="1:10" ht="15.6">
      <c r="A151" s="587" t="s">
        <v>256</v>
      </c>
      <c r="B151" s="588"/>
      <c r="C151" s="587"/>
      <c r="D151" s="589"/>
      <c r="E151" s="590"/>
      <c r="F151" s="589"/>
      <c r="G151" s="589"/>
      <c r="H151" s="591"/>
      <c r="J151" s="879"/>
    </row>
    <row r="152" spans="1:10" ht="15.6">
      <c r="B152" s="10"/>
      <c r="C152" s="1"/>
      <c r="E152" s="78"/>
      <c r="H152" s="452"/>
      <c r="J152" s="879"/>
    </row>
    <row r="153" spans="1:10" ht="15.6">
      <c r="A153" s="10"/>
      <c r="B153" s="14" t="s">
        <v>435</v>
      </c>
      <c r="E153" s="78"/>
      <c r="G153" s="77"/>
      <c r="J153" s="879"/>
    </row>
    <row r="154" spans="1:10" ht="15.6">
      <c r="A154" s="10">
        <f>+A149+1</f>
        <v>76</v>
      </c>
      <c r="B154" s="14"/>
      <c r="C154" s="1" t="s">
        <v>185</v>
      </c>
      <c r="E154" s="78"/>
      <c r="F154" s="77" t="s">
        <v>344</v>
      </c>
      <c r="G154" s="77"/>
      <c r="H154" s="45">
        <f>'9-LTD'!P84</f>
        <v>25873096</v>
      </c>
      <c r="J154" s="879"/>
    </row>
    <row r="155" spans="1:10">
      <c r="A155" s="10"/>
      <c r="B155" s="10"/>
      <c r="C155" s="77"/>
      <c r="G155" s="77"/>
      <c r="H155" s="77"/>
      <c r="J155" s="879"/>
    </row>
    <row r="156" spans="1:10" ht="15.6">
      <c r="A156" s="10">
        <f>A154+1</f>
        <v>77</v>
      </c>
      <c r="B156" s="14" t="s">
        <v>478</v>
      </c>
      <c r="E156" s="78"/>
      <c r="F156" s="77" t="s">
        <v>345</v>
      </c>
      <c r="G156" s="77"/>
      <c r="H156" s="257">
        <f>'8-PrefStock'!U15</f>
        <v>0</v>
      </c>
      <c r="J156" s="879"/>
    </row>
    <row r="157" spans="1:10">
      <c r="A157" s="10"/>
      <c r="B157" s="10"/>
      <c r="E157" s="78"/>
      <c r="F157" s="77"/>
      <c r="G157" s="77"/>
      <c r="H157" s="77"/>
      <c r="J157" s="879"/>
    </row>
    <row r="158" spans="1:10" ht="15.6">
      <c r="A158" s="10"/>
      <c r="B158" s="1" t="s">
        <v>429</v>
      </c>
      <c r="E158" s="78"/>
      <c r="F158" s="77"/>
      <c r="G158" s="77"/>
      <c r="H158" s="77"/>
      <c r="J158" s="879"/>
    </row>
    <row r="159" spans="1:10">
      <c r="A159" s="10">
        <f>+A156+1</f>
        <v>78</v>
      </c>
      <c r="B159" s="10"/>
      <c r="C159" s="77" t="s">
        <v>494</v>
      </c>
      <c r="D159" s="77"/>
      <c r="F159" s="77" t="s">
        <v>31</v>
      </c>
      <c r="G159" s="77"/>
      <c r="H159" s="77">
        <f>'7-ComStock'!D20</f>
        <v>588413439.5</v>
      </c>
      <c r="J159" s="879"/>
    </row>
    <row r="160" spans="1:10">
      <c r="A160" s="10">
        <f>A159+1</f>
        <v>79</v>
      </c>
      <c r="B160" s="10"/>
      <c r="C160" s="77" t="s">
        <v>182</v>
      </c>
      <c r="D160" s="77"/>
      <c r="E160" s="78"/>
      <c r="F160" s="77" t="s">
        <v>32</v>
      </c>
      <c r="G160" s="77"/>
      <c r="H160" s="504">
        <f>'7-ComStock'!S20</f>
        <v>915602</v>
      </c>
      <c r="J160" s="879"/>
    </row>
    <row r="161" spans="1:10">
      <c r="A161" s="10">
        <f>A160+1</f>
        <v>80</v>
      </c>
      <c r="B161" s="10"/>
      <c r="C161" s="77" t="s">
        <v>470</v>
      </c>
      <c r="D161" s="77"/>
      <c r="E161" s="78"/>
      <c r="F161" s="6" t="s">
        <v>33</v>
      </c>
      <c r="G161" s="77"/>
      <c r="H161" s="77">
        <f>'8-PrefStock'!U13</f>
        <v>0</v>
      </c>
      <c r="J161" s="879"/>
    </row>
    <row r="162" spans="1:10">
      <c r="A162" s="10">
        <f>+A161+1</f>
        <v>81</v>
      </c>
      <c r="B162" s="10"/>
      <c r="C162" s="300" t="s">
        <v>469</v>
      </c>
      <c r="D162" s="300" t="s">
        <v>441</v>
      </c>
      <c r="E162" s="310"/>
      <c r="F162" s="300" t="s">
        <v>34</v>
      </c>
      <c r="G162" s="300"/>
      <c r="H162" s="300">
        <f>'7-ComStock'!V20</f>
        <v>0</v>
      </c>
      <c r="J162" s="879"/>
    </row>
    <row r="163" spans="1:10" ht="15.6">
      <c r="A163" s="10">
        <f>+A162+1</f>
        <v>82</v>
      </c>
      <c r="B163" s="10"/>
      <c r="C163" s="14" t="s">
        <v>429</v>
      </c>
      <c r="D163" s="77"/>
      <c r="F163" s="6" t="str">
        <f>"(Line "&amp;A159&amp;" - "&amp;A160&amp;" - "&amp;A161&amp;" - "&amp;A162&amp;")"</f>
        <v>(Line 78 - 79 - 80 - 81)</v>
      </c>
      <c r="H163" s="14">
        <f>H159-H160-H161-H162</f>
        <v>587497837.5</v>
      </c>
      <c r="J163" s="879"/>
    </row>
    <row r="164" spans="1:10">
      <c r="A164" s="10"/>
      <c r="B164" s="10"/>
      <c r="E164" s="78"/>
      <c r="F164" s="77"/>
      <c r="H164" s="77"/>
      <c r="J164" s="879"/>
    </row>
    <row r="165" spans="1:10" ht="15.6">
      <c r="A165" s="10"/>
      <c r="B165" s="1" t="s">
        <v>471</v>
      </c>
      <c r="E165" s="78"/>
      <c r="F165" s="77"/>
      <c r="H165" s="77"/>
      <c r="J165" s="879"/>
    </row>
    <row r="166" spans="1:10">
      <c r="A166" s="10">
        <f>A163+1</f>
        <v>83</v>
      </c>
      <c r="B166" s="10"/>
      <c r="C166" s="6" t="s">
        <v>596</v>
      </c>
      <c r="F166" s="6" t="s">
        <v>35</v>
      </c>
      <c r="H166" s="77">
        <f>'6-WACC'!D12</f>
        <v>575500000</v>
      </c>
      <c r="J166" s="879"/>
    </row>
    <row r="167" spans="1:10">
      <c r="A167" s="10">
        <f>+A166+1</f>
        <v>84</v>
      </c>
      <c r="B167" s="10"/>
      <c r="C167" s="6" t="s">
        <v>446</v>
      </c>
      <c r="F167" s="6" t="s">
        <v>36</v>
      </c>
      <c r="H167" s="77">
        <f>'6-WACC'!D14</f>
        <v>0</v>
      </c>
      <c r="J167" s="879"/>
    </row>
    <row r="168" spans="1:10">
      <c r="A168" s="10">
        <f>+A167+1</f>
        <v>85</v>
      </c>
      <c r="B168" s="10"/>
      <c r="C168" s="6" t="s">
        <v>429</v>
      </c>
      <c r="F168" s="20" t="s">
        <v>37</v>
      </c>
      <c r="H168" s="77">
        <f>'6-WACC'!D16</f>
        <v>587497837.5</v>
      </c>
      <c r="J168" s="879"/>
    </row>
    <row r="169" spans="1:10" ht="15.6">
      <c r="A169" s="10">
        <f>+A168+1</f>
        <v>86</v>
      </c>
      <c r="B169" s="10"/>
      <c r="C169" s="3" t="s">
        <v>432</v>
      </c>
      <c r="D169" s="9"/>
      <c r="E169" s="19"/>
      <c r="F169" s="77" t="str">
        <f>"(Sum Lines "&amp;A166&amp;" to "&amp;A168&amp;")"</f>
        <v>(Sum Lines 83 to 85)</v>
      </c>
      <c r="G169" s="297"/>
      <c r="H169" s="30">
        <f>SUM(H166:H168)</f>
        <v>1162997837.5</v>
      </c>
      <c r="J169" s="879"/>
    </row>
    <row r="170" spans="1:10">
      <c r="A170" s="10"/>
      <c r="B170" s="10"/>
      <c r="G170" s="77"/>
      <c r="H170" s="78"/>
      <c r="J170" s="879"/>
    </row>
    <row r="171" spans="1:10">
      <c r="A171" s="10">
        <f>+A169+1</f>
        <v>87</v>
      </c>
      <c r="B171" s="10"/>
      <c r="C171" s="8" t="s">
        <v>149</v>
      </c>
      <c r="D171" s="6" t="s">
        <v>433</v>
      </c>
      <c r="F171" s="6" t="s">
        <v>655</v>
      </c>
      <c r="G171" s="77"/>
      <c r="H171" s="311">
        <f>+'6-WACC'!G12</f>
        <v>0.49484184874935333</v>
      </c>
      <c r="J171" s="879"/>
    </row>
    <row r="172" spans="1:10">
      <c r="A172" s="10">
        <f>+A171+1</f>
        <v>88</v>
      </c>
      <c r="B172" s="10"/>
      <c r="C172" s="8" t="s">
        <v>155</v>
      </c>
      <c r="D172" s="6" t="s">
        <v>446</v>
      </c>
      <c r="F172" s="6" t="s">
        <v>653</v>
      </c>
      <c r="G172" s="77"/>
      <c r="H172" s="311">
        <f>H167/H169</f>
        <v>0</v>
      </c>
      <c r="J172" s="879"/>
    </row>
    <row r="173" spans="1:10">
      <c r="A173" s="10">
        <f>+A172+1</f>
        <v>89</v>
      </c>
      <c r="B173" s="10"/>
      <c r="C173" s="8" t="s">
        <v>150</v>
      </c>
      <c r="D173" s="6" t="s">
        <v>429</v>
      </c>
      <c r="F173" s="6" t="s">
        <v>654</v>
      </c>
      <c r="G173" s="77"/>
      <c r="H173" s="311">
        <f>+'6-WACC'!G16</f>
        <v>0.50515815125064667</v>
      </c>
      <c r="J173" s="879"/>
    </row>
    <row r="174" spans="1:10">
      <c r="A174" s="10"/>
      <c r="B174" s="10"/>
      <c r="C174" s="213"/>
      <c r="F174" s="77"/>
      <c r="G174" s="77"/>
      <c r="H174" s="78"/>
      <c r="J174" s="879"/>
    </row>
    <row r="175" spans="1:10">
      <c r="A175" s="10">
        <f>+A173+1</f>
        <v>90</v>
      </c>
      <c r="B175" s="10"/>
      <c r="C175" s="213" t="s">
        <v>151</v>
      </c>
      <c r="D175" s="6" t="s">
        <v>433</v>
      </c>
      <c r="F175" s="77" t="s">
        <v>346</v>
      </c>
      <c r="G175" s="77"/>
      <c r="H175" s="312">
        <f>'6-WACC'!I12</f>
        <v>4.5126310058026621E-2</v>
      </c>
      <c r="J175" s="879"/>
    </row>
    <row r="176" spans="1:10">
      <c r="A176" s="10">
        <f>+A175+1</f>
        <v>91</v>
      </c>
      <c r="B176" s="10"/>
      <c r="C176" s="213" t="s">
        <v>156</v>
      </c>
      <c r="D176" s="6" t="s">
        <v>446</v>
      </c>
      <c r="F176" s="77" t="s">
        <v>347</v>
      </c>
      <c r="G176" s="77"/>
      <c r="H176" s="312">
        <f>'6-WACC'!I14</f>
        <v>0</v>
      </c>
      <c r="J176" s="879"/>
    </row>
    <row r="177" spans="1:10">
      <c r="A177" s="10">
        <f>+A176+1</f>
        <v>92</v>
      </c>
      <c r="B177" s="10"/>
      <c r="C177" s="213" t="s">
        <v>152</v>
      </c>
      <c r="D177" s="6" t="s">
        <v>429</v>
      </c>
      <c r="F177" s="77" t="s">
        <v>624</v>
      </c>
      <c r="G177" s="77"/>
      <c r="H177" s="312">
        <f>+'6-WACC'!I16</f>
        <v>0.10150000000000001</v>
      </c>
      <c r="J177" s="879"/>
    </row>
    <row r="178" spans="1:10">
      <c r="A178" s="10"/>
      <c r="B178" s="10"/>
      <c r="C178" s="213"/>
      <c r="F178" s="77"/>
      <c r="G178" s="77"/>
      <c r="J178" s="879"/>
    </row>
    <row r="179" spans="1:10">
      <c r="A179" s="10">
        <f>+A177+1</f>
        <v>93</v>
      </c>
      <c r="B179" s="10"/>
      <c r="C179" s="8" t="s">
        <v>153</v>
      </c>
      <c r="D179" s="6" t="s">
        <v>434</v>
      </c>
      <c r="F179" s="77" t="str">
        <f>"(Line "&amp;A171&amp;" * Line "&amp;A175&amp;")"</f>
        <v>(Line 87 * Line 90)</v>
      </c>
      <c r="G179" s="472"/>
      <c r="H179" s="312">
        <f>H171*H175</f>
        <v>2.2330386696350429E-2</v>
      </c>
      <c r="J179" s="879"/>
    </row>
    <row r="180" spans="1:10">
      <c r="A180" s="10">
        <f>+A179+1</f>
        <v>94</v>
      </c>
      <c r="B180" s="10"/>
      <c r="C180" s="8" t="s">
        <v>361</v>
      </c>
      <c r="D180" s="6" t="s">
        <v>446</v>
      </c>
      <c r="F180" s="77" t="str">
        <f>"(Line "&amp;A172&amp;" * Line "&amp;A176&amp;")"</f>
        <v>(Line 88 * Line 91)</v>
      </c>
      <c r="G180" s="7"/>
      <c r="H180" s="312">
        <f>H172*H176</f>
        <v>0</v>
      </c>
      <c r="J180" s="879"/>
    </row>
    <row r="181" spans="1:10">
      <c r="A181" s="10">
        <f>+A180+1</f>
        <v>95</v>
      </c>
      <c r="B181" s="18"/>
      <c r="C181" s="11" t="s">
        <v>154</v>
      </c>
      <c r="D181" s="20" t="s">
        <v>429</v>
      </c>
      <c r="E181" s="18"/>
      <c r="F181" s="300" t="str">
        <f>"(Line "&amp;A173&amp;" * Line "&amp;A177&amp;")"</f>
        <v>(Line 89 * Line 92)</v>
      </c>
      <c r="G181" s="308"/>
      <c r="H181" s="505">
        <f>H173*H177</f>
        <v>5.1273552351940643E-2</v>
      </c>
      <c r="J181" s="879"/>
    </row>
    <row r="182" spans="1:10" s="1" customFormat="1" ht="15.6">
      <c r="A182" s="10">
        <f>+A181+1</f>
        <v>96</v>
      </c>
      <c r="B182" s="1" t="s">
        <v>157</v>
      </c>
      <c r="E182" s="5"/>
      <c r="F182" s="77" t="str">
        <f>"(Sum Lines "&amp;A179&amp;" to "&amp;A181&amp;")"</f>
        <v>(Sum Lines 93 to 95)</v>
      </c>
      <c r="G182" s="473"/>
      <c r="H182" s="506">
        <f>SUM(H179:H181)</f>
        <v>7.3603939048291073E-2</v>
      </c>
      <c r="J182" s="879"/>
    </row>
    <row r="183" spans="1:10" s="1" customFormat="1" ht="15.6">
      <c r="A183" s="5"/>
      <c r="B183" s="5"/>
      <c r="E183" s="5"/>
      <c r="F183" s="14"/>
      <c r="G183" s="473"/>
      <c r="H183" s="474"/>
      <c r="J183" s="879"/>
    </row>
    <row r="184" spans="1:10" ht="16.2" thickBot="1">
      <c r="A184" s="10">
        <f>+A182+1</f>
        <v>97</v>
      </c>
      <c r="B184" s="475" t="s">
        <v>476</v>
      </c>
      <c r="C184" s="13"/>
      <c r="D184" s="4"/>
      <c r="E184" s="476"/>
      <c r="F184" s="46" t="str">
        <f>"(Line "&amp;A97&amp;" * Line "&amp;A182&amp;")"</f>
        <v>(Line 48 * Line 96)</v>
      </c>
      <c r="G184" s="477"/>
      <c r="H184" s="46">
        <f>H97*H182</f>
        <v>3301003.6192629649</v>
      </c>
      <c r="J184" s="879"/>
    </row>
    <row r="185" spans="1:10" ht="16.2" thickTop="1">
      <c r="A185" s="10"/>
      <c r="B185" s="478"/>
      <c r="D185" s="1"/>
      <c r="E185" s="329"/>
      <c r="F185" s="14"/>
      <c r="G185" s="479"/>
      <c r="H185" s="14"/>
      <c r="J185" s="879"/>
    </row>
    <row r="186" spans="1:10" ht="15.6">
      <c r="A186" s="10"/>
      <c r="B186" s="478"/>
      <c r="D186" s="1"/>
      <c r="E186" s="329"/>
      <c r="F186" s="14"/>
      <c r="G186" s="479"/>
      <c r="H186" s="14"/>
      <c r="J186" s="879"/>
    </row>
    <row r="187" spans="1:10" ht="15.6">
      <c r="A187" s="10"/>
      <c r="B187" s="478"/>
      <c r="D187" s="1"/>
      <c r="E187" s="329"/>
      <c r="F187" s="14"/>
      <c r="G187" s="479"/>
      <c r="H187" s="14"/>
      <c r="J187" s="879"/>
    </row>
    <row r="188" spans="1:10" ht="15.6">
      <c r="A188" s="10"/>
      <c r="B188" s="478"/>
      <c r="D188" s="1"/>
      <c r="E188" s="329"/>
      <c r="F188" s="14"/>
      <c r="G188" s="479"/>
      <c r="H188" s="14"/>
      <c r="J188" s="879"/>
    </row>
    <row r="189" spans="1:10" ht="15.6">
      <c r="A189" s="10"/>
      <c r="B189" s="478"/>
      <c r="D189" s="1"/>
      <c r="E189" s="329"/>
      <c r="F189" s="14"/>
      <c r="G189" s="479"/>
      <c r="H189" s="14"/>
      <c r="J189" s="879"/>
    </row>
    <row r="190" spans="1:10" ht="15.6">
      <c r="A190" s="10"/>
      <c r="B190" s="478"/>
      <c r="D190" s="1"/>
      <c r="E190" s="329"/>
      <c r="F190" s="14"/>
      <c r="G190" s="479"/>
      <c r="H190" s="14"/>
      <c r="J190" s="879"/>
    </row>
    <row r="191" spans="1:10" ht="15.6">
      <c r="A191" s="10"/>
      <c r="B191" s="478"/>
      <c r="D191" s="1"/>
      <c r="E191" s="329"/>
      <c r="F191" s="14"/>
      <c r="G191" s="479"/>
      <c r="H191" s="14"/>
      <c r="J191" s="879"/>
    </row>
    <row r="192" spans="1:10" ht="15.6">
      <c r="A192" s="10"/>
      <c r="B192" s="478"/>
      <c r="D192" s="1"/>
      <c r="E192" s="329"/>
      <c r="F192" s="14"/>
      <c r="G192" s="479"/>
      <c r="H192" s="14"/>
      <c r="J192" s="879"/>
    </row>
    <row r="193" spans="1:10" ht="15.6">
      <c r="A193" s="10"/>
      <c r="B193" s="478"/>
      <c r="D193" s="1"/>
      <c r="E193" s="329"/>
      <c r="F193" s="14"/>
      <c r="G193" s="479"/>
      <c r="H193" s="14"/>
      <c r="J193" s="879"/>
    </row>
    <row r="194" spans="1:10" ht="15.6">
      <c r="A194" s="10"/>
      <c r="B194" s="478"/>
      <c r="D194" s="1"/>
      <c r="E194" s="329"/>
      <c r="F194" s="14"/>
      <c r="G194" s="479"/>
      <c r="H194" s="14"/>
      <c r="J194" s="879"/>
    </row>
    <row r="195" spans="1:10" ht="15.6">
      <c r="A195" s="10"/>
      <c r="B195" s="478"/>
      <c r="D195" s="1"/>
      <c r="E195" s="329"/>
      <c r="F195" s="14"/>
      <c r="G195" s="479"/>
      <c r="H195" s="14"/>
      <c r="J195" s="879"/>
    </row>
    <row r="196" spans="1:10" ht="15.6">
      <c r="A196" s="10"/>
      <c r="B196" s="478"/>
      <c r="D196" s="1"/>
      <c r="E196" s="329"/>
      <c r="F196" s="14"/>
      <c r="G196" s="479"/>
      <c r="H196" s="14"/>
      <c r="J196" s="879"/>
    </row>
    <row r="197" spans="1:10" ht="15.6">
      <c r="A197" s="10"/>
      <c r="B197" s="478"/>
      <c r="D197" s="1"/>
      <c r="E197" s="329"/>
      <c r="F197" s="14"/>
      <c r="G197" s="479"/>
      <c r="H197" s="14"/>
      <c r="J197" s="879"/>
    </row>
    <row r="198" spans="1:10" ht="15.6">
      <c r="A198" s="10"/>
      <c r="B198" s="478"/>
      <c r="D198" s="1"/>
      <c r="E198" s="329"/>
      <c r="F198" s="14"/>
      <c r="G198" s="479"/>
      <c r="H198" s="14"/>
      <c r="J198" s="879"/>
    </row>
    <row r="199" spans="1:10" ht="15.6">
      <c r="A199" s="10"/>
      <c r="B199" s="478"/>
      <c r="D199" s="26"/>
      <c r="F199" s="14"/>
      <c r="G199" s="479"/>
      <c r="H199" s="14"/>
      <c r="J199" s="879"/>
    </row>
    <row r="200" spans="1:10" ht="15.6">
      <c r="A200" s="10"/>
      <c r="B200" s="478"/>
      <c r="D200" s="26" t="s">
        <v>506</v>
      </c>
      <c r="F200" s="14"/>
      <c r="G200" s="479"/>
      <c r="H200" s="14"/>
      <c r="J200" s="879"/>
    </row>
    <row r="201" spans="1:10">
      <c r="A201" s="10"/>
      <c r="B201" s="10"/>
      <c r="D201" s="7" t="s">
        <v>43</v>
      </c>
      <c r="E201" s="10" t="s">
        <v>441</v>
      </c>
      <c r="F201" s="77"/>
      <c r="G201" s="77"/>
      <c r="H201" s="480"/>
      <c r="J201" s="879"/>
    </row>
    <row r="202" spans="1:10" ht="21">
      <c r="A202" s="937" t="s">
        <v>717</v>
      </c>
      <c r="B202" s="938"/>
      <c r="C202" s="938"/>
      <c r="D202" s="938"/>
      <c r="E202" s="938"/>
      <c r="F202" s="938"/>
      <c r="G202" s="938"/>
      <c r="H202" s="938"/>
      <c r="J202" s="879"/>
    </row>
    <row r="203" spans="1:10" ht="20.399999999999999">
      <c r="A203" s="939" t="str">
        <f>$A$2</f>
        <v>(For Rate Year Beginning April 1, 2026, Based on December 31, 2025 Data)</v>
      </c>
      <c r="B203" s="939"/>
      <c r="C203" s="939"/>
      <c r="D203" s="939"/>
      <c r="E203" s="939"/>
      <c r="F203" s="939"/>
      <c r="G203" s="939"/>
      <c r="H203" s="939"/>
      <c r="J203" s="879"/>
    </row>
    <row r="204" spans="1:10">
      <c r="A204" s="10"/>
      <c r="B204" s="10"/>
      <c r="F204" s="77"/>
      <c r="G204" s="77"/>
      <c r="H204" s="480"/>
      <c r="J204" s="879"/>
    </row>
    <row r="205" spans="1:10" ht="15.6">
      <c r="A205" s="592" t="s">
        <v>406</v>
      </c>
      <c r="B205" s="593"/>
      <c r="C205" s="587"/>
      <c r="D205" s="589"/>
      <c r="E205" s="594"/>
      <c r="F205" s="589"/>
      <c r="G205" s="589"/>
      <c r="H205" s="591"/>
      <c r="J205" s="879"/>
    </row>
    <row r="206" spans="1:10" ht="15.6">
      <c r="B206" s="10"/>
      <c r="C206" s="1"/>
      <c r="E206" s="78"/>
      <c r="H206" s="452"/>
      <c r="J206" s="879"/>
    </row>
    <row r="207" spans="1:10" ht="15.6">
      <c r="A207" s="10" t="s">
        <v>441</v>
      </c>
      <c r="B207" s="478" t="s">
        <v>477</v>
      </c>
      <c r="E207" s="78"/>
      <c r="F207" s="77"/>
      <c r="G207" s="481"/>
      <c r="J207" s="879"/>
    </row>
    <row r="208" spans="1:10">
      <c r="A208" s="10">
        <f>+A184+1</f>
        <v>98</v>
      </c>
      <c r="B208" s="10"/>
      <c r="C208" s="6" t="s">
        <v>475</v>
      </c>
      <c r="E208" s="10" t="str">
        <f>"(Note "&amp;B$271&amp;")"</f>
        <v>(Note G)</v>
      </c>
      <c r="F208" s="6" t="s">
        <v>1431</v>
      </c>
      <c r="G208" s="2"/>
      <c r="H208" s="311">
        <f>Inputs!D332</f>
        <v>0.21</v>
      </c>
      <c r="J208" s="879"/>
    </row>
    <row r="209" spans="1:11">
      <c r="A209" s="10">
        <f>+A208+1</f>
        <v>99</v>
      </c>
      <c r="B209" s="10"/>
      <c r="C209" s="6" t="s">
        <v>474</v>
      </c>
      <c r="D209" s="482"/>
      <c r="E209" s="10" t="str">
        <f>"(Note "&amp;B$271&amp;")"</f>
        <v>(Note G)</v>
      </c>
      <c r="F209" s="6" t="s">
        <v>1432</v>
      </c>
      <c r="G209" s="2"/>
      <c r="H209" s="311">
        <f>Inputs!D333</f>
        <v>0</v>
      </c>
      <c r="J209" s="879"/>
    </row>
    <row r="210" spans="1:11">
      <c r="A210" s="10">
        <f>+A209+1</f>
        <v>100</v>
      </c>
      <c r="B210" s="10"/>
      <c r="C210" s="6" t="s">
        <v>140</v>
      </c>
      <c r="D210" s="2" t="s">
        <v>190</v>
      </c>
      <c r="E210" s="10" t="str">
        <f>"(Note "&amp;B$271&amp;")"</f>
        <v>(Note G)</v>
      </c>
      <c r="F210" s="6" t="s">
        <v>1433</v>
      </c>
      <c r="G210" s="2"/>
      <c r="H210" s="311">
        <f>Inputs!D334</f>
        <v>0</v>
      </c>
      <c r="J210" s="879"/>
    </row>
    <row r="211" spans="1:11">
      <c r="A211" s="10">
        <f>+A210+1</f>
        <v>101</v>
      </c>
      <c r="B211" s="10"/>
      <c r="C211" s="6" t="s">
        <v>143</v>
      </c>
      <c r="D211" s="313" t="s">
        <v>191</v>
      </c>
      <c r="G211" s="2"/>
      <c r="H211" s="314">
        <f>1-(((1-H209)*(1-H208))/(1-H209*H208*H210))</f>
        <v>0.20999999999999996</v>
      </c>
      <c r="J211" s="879"/>
    </row>
    <row r="212" spans="1:11" s="23" customFormat="1">
      <c r="A212" s="10">
        <f>A211+1</f>
        <v>102</v>
      </c>
      <c r="C212" s="6" t="s">
        <v>495</v>
      </c>
      <c r="D212" s="23" t="s">
        <v>348</v>
      </c>
      <c r="H212" s="311">
        <f>H211/(1-H211)</f>
        <v>0.2658227848101265</v>
      </c>
      <c r="J212" s="879"/>
    </row>
    <row r="213" spans="1:11">
      <c r="A213" s="10"/>
      <c r="B213" s="10"/>
      <c r="E213" s="460"/>
      <c r="F213" s="316"/>
      <c r="G213" s="481"/>
      <c r="H213" s="314"/>
      <c r="J213" s="879"/>
    </row>
    <row r="214" spans="1:11" ht="15.6">
      <c r="A214" s="10"/>
      <c r="B214" s="478" t="s">
        <v>472</v>
      </c>
      <c r="F214" s="315"/>
      <c r="G214" s="481"/>
      <c r="H214" s="461"/>
      <c r="J214" s="879"/>
    </row>
    <row r="215" spans="1:11">
      <c r="A215" s="10">
        <f>A212+1</f>
        <v>103</v>
      </c>
      <c r="B215" s="10"/>
      <c r="C215" s="6" t="s">
        <v>473</v>
      </c>
      <c r="F215" s="77" t="s">
        <v>38</v>
      </c>
      <c r="G215" s="481"/>
      <c r="H215" s="77">
        <f>'5-CostSupport'!J31</f>
        <v>0</v>
      </c>
      <c r="J215" s="879"/>
    </row>
    <row r="216" spans="1:11">
      <c r="A216" s="10"/>
      <c r="B216" s="10"/>
      <c r="F216" s="77"/>
      <c r="G216" s="481"/>
      <c r="H216" s="77"/>
      <c r="J216" s="879"/>
    </row>
    <row r="217" spans="1:11" ht="15.6">
      <c r="B217" s="936" t="s">
        <v>1461</v>
      </c>
      <c r="C217" s="936"/>
      <c r="D217" s="936"/>
      <c r="E217" s="936"/>
      <c r="F217" s="936"/>
      <c r="G217" s="481"/>
      <c r="H217" s="77"/>
      <c r="J217" s="879"/>
    </row>
    <row r="218" spans="1:11" ht="15.6">
      <c r="A218" s="10" t="s">
        <v>1260</v>
      </c>
      <c r="B218" s="34"/>
      <c r="C218" s="8" t="s">
        <v>1462</v>
      </c>
      <c r="F218" s="6" t="s">
        <v>1261</v>
      </c>
      <c r="G218" s="481"/>
      <c r="H218" s="222">
        <f>-'1.6-ITAAM Summary'!J28</f>
        <v>-10290.118348367138</v>
      </c>
      <c r="J218" s="879"/>
    </row>
    <row r="219" spans="1:11">
      <c r="A219" s="10" t="s">
        <v>1262</v>
      </c>
      <c r="B219" s="10"/>
      <c r="C219" s="20" t="s">
        <v>1463</v>
      </c>
      <c r="D219" s="20"/>
      <c r="E219" s="18"/>
      <c r="F219" s="20" t="s">
        <v>1263</v>
      </c>
      <c r="G219" s="788"/>
      <c r="H219" s="223">
        <f>-'1.6-ITAAM Summary'!J50</f>
        <v>78584.225488603988</v>
      </c>
      <c r="J219" s="879"/>
    </row>
    <row r="220" spans="1:11">
      <c r="A220" s="10" t="s">
        <v>1264</v>
      </c>
      <c r="B220" s="10"/>
      <c r="C220" s="6" t="s">
        <v>492</v>
      </c>
      <c r="F220" s="77"/>
      <c r="G220" s="481"/>
      <c r="H220" s="222">
        <f>SUM(H218:H219)</f>
        <v>68294.107140236854</v>
      </c>
      <c r="J220" s="879"/>
    </row>
    <row r="221" spans="1:11">
      <c r="A221" s="10" t="s">
        <v>1265</v>
      </c>
      <c r="B221" s="10"/>
      <c r="C221" s="20" t="s">
        <v>1266</v>
      </c>
      <c r="D221" s="20"/>
      <c r="E221" s="18"/>
      <c r="F221" s="300" t="s">
        <v>1267</v>
      </c>
      <c r="G221" s="788"/>
      <c r="H221" s="505">
        <f>H212+1</f>
        <v>1.2658227848101264</v>
      </c>
      <c r="J221" s="879"/>
    </row>
    <row r="222" spans="1:11">
      <c r="A222" s="10" t="s">
        <v>1268</v>
      </c>
      <c r="B222" s="10"/>
      <c r="C222" s="6" t="s">
        <v>1464</v>
      </c>
      <c r="F222" s="77" t="s">
        <v>1269</v>
      </c>
      <c r="G222" s="481"/>
      <c r="H222" s="222">
        <f>H220*(H221)</f>
        <v>86448.236886375758</v>
      </c>
      <c r="J222" s="879"/>
    </row>
    <row r="223" spans="1:11">
      <c r="A223" s="10"/>
      <c r="B223" s="10"/>
      <c r="F223" s="77"/>
      <c r="G223" s="481"/>
      <c r="H223" s="77"/>
      <c r="J223" s="879"/>
    </row>
    <row r="224" spans="1:11" ht="15.6">
      <c r="A224" s="10">
        <f>+A215+1</f>
        <v>104</v>
      </c>
      <c r="B224" s="10"/>
      <c r="C224" s="34" t="s">
        <v>404</v>
      </c>
      <c r="D224" s="8" t="s">
        <v>1</v>
      </c>
      <c r="F224" s="77" t="s">
        <v>349</v>
      </c>
      <c r="G224" s="305"/>
      <c r="H224" s="470">
        <f>H215*(1/(1-H211))</f>
        <v>0</v>
      </c>
      <c r="J224" s="879"/>
      <c r="K224" s="728"/>
    </row>
    <row r="225" spans="1:10" ht="15.6">
      <c r="A225" s="10"/>
      <c r="B225" s="10"/>
      <c r="E225" s="460"/>
      <c r="F225" s="316"/>
      <c r="G225" s="481"/>
      <c r="H225" s="317"/>
      <c r="J225" s="879"/>
    </row>
    <row r="226" spans="1:10" ht="15.6">
      <c r="A226" s="10">
        <f>+A224+1</f>
        <v>105</v>
      </c>
      <c r="B226" s="1" t="s">
        <v>489</v>
      </c>
      <c r="D226" s="6" t="s">
        <v>2</v>
      </c>
      <c r="E226" s="78"/>
      <c r="F226" s="77" t="str">
        <f>"[Line "&amp;A212&amp;" * Line "&amp;A184&amp;" * (1- (Line "&amp;A179&amp;" / Line "&amp;A182&amp;"))]"</f>
        <v>[Line 102 * Line 97 * (1- (Line 93 / Line 96))]</v>
      </c>
      <c r="H226" s="31">
        <f>((H212*H184*(1-(H179/H182))))</f>
        <v>611266.44241468294</v>
      </c>
      <c r="J226" s="879"/>
    </row>
    <row r="227" spans="1:10" ht="15.6">
      <c r="A227" s="10"/>
      <c r="B227" s="10"/>
      <c r="C227" s="8"/>
      <c r="F227" s="26"/>
      <c r="G227" s="305"/>
      <c r="H227" s="26"/>
      <c r="J227" s="879"/>
    </row>
    <row r="228" spans="1:10" ht="16.2" thickBot="1">
      <c r="A228" s="10">
        <f>+A226+1</f>
        <v>106</v>
      </c>
      <c r="B228" s="475" t="s">
        <v>425</v>
      </c>
      <c r="C228" s="475"/>
      <c r="D228" s="4"/>
      <c r="E228" s="57"/>
      <c r="F228" s="46" t="s">
        <v>905</v>
      </c>
      <c r="G228" s="483"/>
      <c r="H228" s="789">
        <f>H226-H224-H222</f>
        <v>524818.20552830724</v>
      </c>
      <c r="J228" s="879"/>
    </row>
    <row r="229" spans="1:10" ht="16.2" thickTop="1">
      <c r="A229" s="10"/>
      <c r="B229" s="10"/>
      <c r="C229" s="316"/>
      <c r="F229" s="26"/>
      <c r="G229" s="484"/>
      <c r="H229" s="340"/>
      <c r="J229" s="879"/>
    </row>
    <row r="230" spans="1:10" ht="15.6">
      <c r="A230" s="592" t="s">
        <v>252</v>
      </c>
      <c r="B230" s="593"/>
      <c r="C230" s="587"/>
      <c r="D230" s="589"/>
      <c r="E230" s="590"/>
      <c r="F230" s="589"/>
      <c r="G230" s="589"/>
      <c r="H230" s="591"/>
      <c r="J230" s="879"/>
    </row>
    <row r="231" spans="1:10">
      <c r="A231" s="10"/>
      <c r="J231" s="879"/>
    </row>
    <row r="232" spans="1:10" ht="15.6">
      <c r="A232" s="10"/>
      <c r="B232" s="1" t="s">
        <v>426</v>
      </c>
      <c r="J232" s="879"/>
    </row>
    <row r="233" spans="1:10">
      <c r="A233" s="10">
        <f>+A228+1</f>
        <v>107</v>
      </c>
      <c r="C233" s="6" t="s">
        <v>427</v>
      </c>
      <c r="F233" s="77" t="str">
        <f>"(Line "&amp;A66&amp;")"</f>
        <v>(Line 35)</v>
      </c>
      <c r="H233" s="77">
        <f>H66</f>
        <v>50461181.33901161</v>
      </c>
      <c r="J233" s="879"/>
    </row>
    <row r="234" spans="1:10">
      <c r="A234" s="10">
        <f>+A233+1</f>
        <v>108</v>
      </c>
      <c r="C234" s="6" t="s">
        <v>184</v>
      </c>
      <c r="F234" s="300" t="str">
        <f>"(Line "&amp;A95&amp;")"</f>
        <v>(Line 47)</v>
      </c>
      <c r="H234" s="44">
        <f>H95</f>
        <v>-5612988.9467919813</v>
      </c>
      <c r="J234" s="879"/>
    </row>
    <row r="235" spans="1:10" ht="15.6">
      <c r="A235" s="10">
        <f>+A234+1</f>
        <v>109</v>
      </c>
      <c r="B235" s="10"/>
      <c r="C235" s="9" t="s">
        <v>488</v>
      </c>
      <c r="D235" s="3"/>
      <c r="E235" s="485"/>
      <c r="F235" s="77" t="str">
        <f>"(Line "&amp;A97&amp;")"</f>
        <v>(Line 48)</v>
      </c>
      <c r="G235" s="3"/>
      <c r="H235" s="297">
        <f>SUM(H233:H234)</f>
        <v>44848192.392219625</v>
      </c>
      <c r="J235" s="879"/>
    </row>
    <row r="236" spans="1:10">
      <c r="A236" s="10"/>
      <c r="B236" s="10"/>
      <c r="E236" s="78"/>
      <c r="H236" s="77"/>
      <c r="J236" s="879"/>
    </row>
    <row r="237" spans="1:10">
      <c r="A237" s="10">
        <f>+A235+1</f>
        <v>110</v>
      </c>
      <c r="C237" s="6" t="s">
        <v>483</v>
      </c>
      <c r="F237" s="77" t="str">
        <f>"(Line "&amp;A130&amp;")"</f>
        <v>(Line 66)</v>
      </c>
      <c r="H237" s="77">
        <f>H130</f>
        <v>1172367.8913758555</v>
      </c>
      <c r="J237" s="879"/>
    </row>
    <row r="238" spans="1:10">
      <c r="A238" s="10">
        <f>+A237+1</f>
        <v>111</v>
      </c>
      <c r="C238" s="8" t="s">
        <v>480</v>
      </c>
      <c r="F238" s="77" t="str">
        <f>"(Line "&amp;A143&amp;")"</f>
        <v>(Line 73)</v>
      </c>
      <c r="H238" s="77">
        <f>H143</f>
        <v>2334936.0160961612</v>
      </c>
      <c r="J238" s="879"/>
    </row>
    <row r="239" spans="1:10">
      <c r="A239" s="10">
        <f>+A238+1</f>
        <v>112</v>
      </c>
      <c r="B239" s="10"/>
      <c r="C239" s="6" t="s">
        <v>428</v>
      </c>
      <c r="E239" s="78"/>
      <c r="F239" s="77" t="str">
        <f>"(Line "&amp;A149&amp;")"</f>
        <v>(Line 75)</v>
      </c>
      <c r="H239" s="77">
        <f>H149</f>
        <v>420701.86116179236</v>
      </c>
      <c r="J239" s="879"/>
    </row>
    <row r="240" spans="1:10">
      <c r="A240" s="10">
        <f>+A239+1</f>
        <v>113</v>
      </c>
      <c r="B240" s="10"/>
      <c r="C240" s="316" t="s">
        <v>498</v>
      </c>
      <c r="E240" s="78"/>
      <c r="F240" s="77" t="str">
        <f>"(Line "&amp;A184&amp;")"</f>
        <v>(Line 97)</v>
      </c>
      <c r="H240" s="77">
        <f>H184</f>
        <v>3301003.6192629649</v>
      </c>
      <c r="J240" s="879"/>
    </row>
    <row r="241" spans="1:10">
      <c r="A241" s="10">
        <f>+A240+1</f>
        <v>114</v>
      </c>
      <c r="B241" s="10"/>
      <c r="C241" s="316" t="s">
        <v>499</v>
      </c>
      <c r="E241" s="78"/>
      <c r="F241" s="77" t="str">
        <f>"(Line "&amp;A228&amp;")"</f>
        <v>(Line 106)</v>
      </c>
      <c r="H241" s="77">
        <f>H228</f>
        <v>524818.20552830724</v>
      </c>
      <c r="J241" s="879"/>
    </row>
    <row r="242" spans="1:10" ht="15.6" thickBot="1">
      <c r="A242" s="10"/>
      <c r="B242" s="10"/>
      <c r="C242" s="316"/>
      <c r="E242" s="78"/>
      <c r="H242" s="77"/>
      <c r="J242" s="879"/>
    </row>
    <row r="243" spans="1:10" ht="18" thickBot="1">
      <c r="A243" s="486">
        <f>+A241+1</f>
        <v>115</v>
      </c>
      <c r="B243" s="487"/>
      <c r="C243" s="16" t="s">
        <v>139</v>
      </c>
      <c r="D243" s="16"/>
      <c r="E243" s="488"/>
      <c r="F243" s="47" t="str">
        <f>"(Sum Lines "&amp;A237&amp;" to "&amp;A241&amp;")"</f>
        <v>(Sum Lines 110 to 114)</v>
      </c>
      <c r="G243" s="489"/>
      <c r="H243" s="507">
        <f>SUM(H237:H241)</f>
        <v>7753827.593425082</v>
      </c>
      <c r="J243" s="879"/>
    </row>
    <row r="244" spans="1:10" ht="17.399999999999999">
      <c r="A244" s="205"/>
      <c r="B244" s="204"/>
      <c r="C244" s="58"/>
      <c r="D244" s="58"/>
      <c r="E244" s="318"/>
      <c r="F244" s="14"/>
      <c r="G244" s="107"/>
      <c r="H244" s="490"/>
      <c r="J244" s="879"/>
    </row>
    <row r="245" spans="1:10" ht="17.399999999999999">
      <c r="A245" s="205"/>
      <c r="B245" s="34" t="s">
        <v>450</v>
      </c>
      <c r="C245" s="58"/>
      <c r="D245" s="58"/>
      <c r="E245" s="318"/>
      <c r="F245" s="14"/>
      <c r="G245" s="107"/>
      <c r="H245" s="490"/>
      <c r="J245" s="879"/>
    </row>
    <row r="246" spans="1:10" ht="17.399999999999999">
      <c r="A246" s="10">
        <f>+A243+1</f>
        <v>116</v>
      </c>
      <c r="B246" s="10"/>
      <c r="C246" s="6" t="str">
        <f>+C42</f>
        <v>Transmission Plant In Service under SPP tariff</v>
      </c>
      <c r="D246" s="58"/>
      <c r="E246" s="318"/>
      <c r="F246" s="77" t="s">
        <v>1434</v>
      </c>
      <c r="G246" s="107"/>
      <c r="H246" s="77">
        <f>H42</f>
        <v>85279144.388324827</v>
      </c>
      <c r="J246" s="879"/>
    </row>
    <row r="247" spans="1:10" ht="17.399999999999999">
      <c r="A247" s="10">
        <f>+A246+1</f>
        <v>117</v>
      </c>
      <c r="B247" s="10"/>
      <c r="C247" s="20" t="s">
        <v>199</v>
      </c>
      <c r="D247" s="20" t="s">
        <v>441</v>
      </c>
      <c r="E247" s="18" t="str">
        <f>"(Note "&amp;B$273&amp;")"</f>
        <v>(Note H)</v>
      </c>
      <c r="F247" s="300" t="s">
        <v>39</v>
      </c>
      <c r="G247" s="492"/>
      <c r="H247" s="300">
        <f>'5-CostSupport'!G38</f>
        <v>0</v>
      </c>
      <c r="J247" s="879"/>
    </row>
    <row r="248" spans="1:10" ht="17.399999999999999">
      <c r="A248" s="10">
        <f>+A247+1</f>
        <v>118</v>
      </c>
      <c r="B248" s="10"/>
      <c r="C248" s="6" t="s">
        <v>451</v>
      </c>
      <c r="D248" s="58"/>
      <c r="E248" s="318"/>
      <c r="F248" s="77" t="str">
        <f>"(Line "&amp;A246&amp;" - Line "&amp;A247&amp;")"</f>
        <v>(Line 116 - Line 117)</v>
      </c>
      <c r="G248" s="107"/>
      <c r="H248" s="77">
        <f>H246-H247</f>
        <v>85279144.388324827</v>
      </c>
      <c r="J248" s="879"/>
    </row>
    <row r="249" spans="1:10" ht="17.399999999999999">
      <c r="A249" s="10">
        <f>+A248+1</f>
        <v>119</v>
      </c>
      <c r="B249" s="10"/>
      <c r="C249" s="6" t="s">
        <v>452</v>
      </c>
      <c r="D249" s="58"/>
      <c r="E249" s="318"/>
      <c r="F249" s="77" t="str">
        <f>"(Line "&amp;A248&amp;" / Line "&amp;A246&amp;")"</f>
        <v>(Line 118 / Line 116)</v>
      </c>
      <c r="G249" s="107"/>
      <c r="H249" s="319">
        <f>H248/H246</f>
        <v>1</v>
      </c>
      <c r="J249" s="879"/>
    </row>
    <row r="250" spans="1:10" ht="17.399999999999999">
      <c r="A250" s="10">
        <f>+A249+1</f>
        <v>120</v>
      </c>
      <c r="B250" s="10"/>
      <c r="C250" s="20" t="s">
        <v>139</v>
      </c>
      <c r="D250" s="320"/>
      <c r="E250" s="493"/>
      <c r="F250" s="300" t="str">
        <f>"(Line "&amp;A243&amp;")"</f>
        <v>(Line 115)</v>
      </c>
      <c r="G250" s="492"/>
      <c r="H250" s="300">
        <f>H243</f>
        <v>7753827.593425082</v>
      </c>
      <c r="J250" s="879"/>
    </row>
    <row r="251" spans="1:10" ht="17.399999999999999">
      <c r="A251" s="10">
        <f>+A250+1</f>
        <v>121</v>
      </c>
      <c r="B251" s="10"/>
      <c r="C251" s="1" t="s">
        <v>453</v>
      </c>
      <c r="D251" s="58"/>
      <c r="E251" s="318"/>
      <c r="F251" s="77" t="str">
        <f>"(Line "&amp;A249&amp;" * Line "&amp;A250&amp;")"</f>
        <v>(Line 119 * Line 120)</v>
      </c>
      <c r="G251" s="107"/>
      <c r="H251" s="14">
        <f>H249*H250</f>
        <v>7753827.593425082</v>
      </c>
      <c r="J251" s="879"/>
    </row>
    <row r="252" spans="1:10" ht="15.6">
      <c r="A252" s="463"/>
      <c r="B252" s="10"/>
      <c r="E252" s="78"/>
      <c r="H252" s="452"/>
      <c r="J252" s="879"/>
    </row>
    <row r="253" spans="1:10" ht="15.6">
      <c r="A253" s="463"/>
      <c r="B253" s="34" t="s">
        <v>237</v>
      </c>
      <c r="E253" s="78"/>
      <c r="H253" s="452"/>
      <c r="J253" s="879"/>
    </row>
    <row r="254" spans="1:10">
      <c r="A254" s="10">
        <f>+A251+1</f>
        <v>122</v>
      </c>
      <c r="C254" s="8" t="s">
        <v>973</v>
      </c>
      <c r="E254" s="78"/>
      <c r="F254" s="6" t="s">
        <v>988</v>
      </c>
      <c r="H254" s="508">
        <f>'3-RevenueCredits'!D25</f>
        <v>522591.52513295971</v>
      </c>
      <c r="J254" s="879"/>
    </row>
    <row r="255" spans="1:10">
      <c r="A255" s="10" t="s">
        <v>238</v>
      </c>
      <c r="C255" s="11" t="s">
        <v>241</v>
      </c>
      <c r="D255" s="20"/>
      <c r="E255" s="310"/>
      <c r="F255" s="20"/>
      <c r="G255" s="20"/>
      <c r="H255" s="256"/>
      <c r="J255" s="879"/>
    </row>
    <row r="256" spans="1:10" ht="15.6">
      <c r="A256" s="10" t="s">
        <v>239</v>
      </c>
      <c r="C256" s="34" t="s">
        <v>240</v>
      </c>
      <c r="E256" s="78"/>
      <c r="F256" s="6" t="s">
        <v>242</v>
      </c>
      <c r="H256" s="509">
        <f>SUM(H254:H255)</f>
        <v>522591.52513295971</v>
      </c>
      <c r="J256" s="879"/>
    </row>
    <row r="257" spans="1:15" ht="15.6">
      <c r="A257" s="10"/>
      <c r="B257" s="10"/>
      <c r="H257" s="452"/>
      <c r="J257" s="879"/>
    </row>
    <row r="258" spans="1:15" s="1" customFormat="1" ht="17.399999999999999">
      <c r="A258" s="556">
        <f>A254+1</f>
        <v>123</v>
      </c>
      <c r="B258" s="3"/>
      <c r="C258" s="557" t="s">
        <v>790</v>
      </c>
      <c r="D258" s="558"/>
      <c r="E258" s="556"/>
      <c r="F258" s="559" t="str">
        <f>"(Line "&amp;A251&amp;" - Line "&amp;A256&amp;")"</f>
        <v>(Line 121 - Line 122b)</v>
      </c>
      <c r="G258" s="558"/>
      <c r="H258" s="559">
        <f>H251-H256</f>
        <v>7231236.0682921223</v>
      </c>
      <c r="J258" s="879"/>
    </row>
    <row r="259" spans="1:15" ht="15.6">
      <c r="A259" s="463"/>
      <c r="B259" s="10"/>
      <c r="H259" s="452"/>
      <c r="J259" s="879"/>
    </row>
    <row r="260" spans="1:15" ht="15.6">
      <c r="A260" s="7">
        <v>124</v>
      </c>
      <c r="B260" s="10"/>
      <c r="C260" s="648" t="s">
        <v>906</v>
      </c>
      <c r="D260" s="617"/>
      <c r="E260" s="618"/>
      <c r="F260" s="617"/>
      <c r="G260" s="617"/>
      <c r="H260" s="729"/>
      <c r="J260" s="879"/>
      <c r="K260" s="728"/>
      <c r="L260" s="728"/>
      <c r="M260" s="728"/>
      <c r="N260" s="728"/>
      <c r="O260" s="728"/>
    </row>
    <row r="261" spans="1:15" ht="16.2" thickBot="1">
      <c r="A261" s="7">
        <v>125</v>
      </c>
      <c r="B261" s="10"/>
      <c r="C261" s="6" t="s">
        <v>820</v>
      </c>
      <c r="H261" s="730"/>
      <c r="J261" s="879"/>
    </row>
    <row r="262" spans="1:15" s="1" customFormat="1" ht="27" customHeight="1" thickBot="1">
      <c r="A262" s="486">
        <v>126</v>
      </c>
      <c r="B262" s="494"/>
      <c r="C262" s="495" t="s">
        <v>974</v>
      </c>
      <c r="D262" s="16"/>
      <c r="E262" s="496"/>
      <c r="F262" s="47" t="str">
        <f>"(Sum Lines 123 to 125)"</f>
        <v>(Sum Lines 123 to 125)</v>
      </c>
      <c r="G262" s="16"/>
      <c r="H262" s="555">
        <f>+H261+H258+H260</f>
        <v>7231236.0682921223</v>
      </c>
      <c r="J262" s="879"/>
    </row>
    <row r="263" spans="1:15" ht="17.399999999999999">
      <c r="A263" s="205"/>
      <c r="B263" s="205"/>
      <c r="C263" s="497"/>
      <c r="D263" s="205"/>
      <c r="E263" s="204"/>
      <c r="F263" s="205"/>
      <c r="G263" s="205"/>
      <c r="H263" s="498"/>
    </row>
    <row r="264" spans="1:15" ht="21">
      <c r="A264" s="61"/>
      <c r="B264" s="62" t="s">
        <v>171</v>
      </c>
      <c r="C264" s="63"/>
      <c r="D264" s="63"/>
      <c r="E264" s="322"/>
      <c r="F264" s="201"/>
      <c r="G264" s="33"/>
      <c r="H264" s="31"/>
    </row>
    <row r="265" spans="1:15" ht="25.95" customHeight="1">
      <c r="A265" s="64"/>
      <c r="B265" s="204" t="s">
        <v>443</v>
      </c>
      <c r="C265" s="107" t="s">
        <v>324</v>
      </c>
      <c r="D265" s="107"/>
      <c r="E265" s="205"/>
      <c r="F265" s="206"/>
      <c r="G265" s="206"/>
      <c r="H265" s="202"/>
      <c r="I265" s="107"/>
    </row>
    <row r="266" spans="1:15" ht="25.95" customHeight="1">
      <c r="A266" s="64"/>
      <c r="B266" s="204" t="s">
        <v>493</v>
      </c>
      <c r="C266" s="107" t="s">
        <v>660</v>
      </c>
      <c r="D266" s="107"/>
      <c r="E266" s="107"/>
      <c r="F266" s="107"/>
      <c r="G266" s="206"/>
      <c r="H266" s="202"/>
      <c r="I266" s="107"/>
    </row>
    <row r="267" spans="1:15" ht="25.95" customHeight="1">
      <c r="A267" s="64"/>
      <c r="B267" s="204" t="s">
        <v>430</v>
      </c>
      <c r="C267" s="203" t="s">
        <v>405</v>
      </c>
      <c r="D267" s="107"/>
      <c r="E267" s="205"/>
      <c r="F267" s="206"/>
      <c r="G267" s="206"/>
      <c r="H267" s="202"/>
      <c r="I267" s="107"/>
    </row>
    <row r="268" spans="1:15" ht="25.95" customHeight="1">
      <c r="A268" s="64"/>
      <c r="B268" s="204" t="s">
        <v>444</v>
      </c>
      <c r="C268" s="107" t="s">
        <v>192</v>
      </c>
      <c r="D268" s="107"/>
      <c r="E268" s="205"/>
      <c r="F268" s="206"/>
      <c r="G268" s="206"/>
      <c r="H268" s="202"/>
      <c r="I268" s="107"/>
    </row>
    <row r="269" spans="1:15" ht="25.95" customHeight="1">
      <c r="A269" s="64"/>
      <c r="B269" s="204" t="s">
        <v>442</v>
      </c>
      <c r="C269" s="107" t="s">
        <v>193</v>
      </c>
      <c r="D269" s="107"/>
      <c r="E269" s="205"/>
      <c r="F269" s="206"/>
      <c r="G269" s="206"/>
      <c r="H269" s="202"/>
      <c r="I269" s="107"/>
    </row>
    <row r="270" spans="1:15" ht="25.95" customHeight="1">
      <c r="A270" s="64"/>
      <c r="B270" s="204" t="s">
        <v>402</v>
      </c>
      <c r="C270" s="107" t="s">
        <v>13</v>
      </c>
      <c r="D270" s="107"/>
      <c r="E270" s="205"/>
      <c r="F270" s="206"/>
      <c r="G270" s="206"/>
      <c r="H270" s="202"/>
      <c r="I270" s="107"/>
    </row>
    <row r="271" spans="1:15" ht="25.95" customHeight="1">
      <c r="A271" s="64"/>
      <c r="B271" s="204" t="s">
        <v>445</v>
      </c>
      <c r="C271" s="107" t="s">
        <v>589</v>
      </c>
      <c r="D271" s="107"/>
      <c r="E271" s="205"/>
      <c r="F271" s="206"/>
      <c r="G271" s="206"/>
      <c r="H271" s="202"/>
      <c r="I271" s="107"/>
    </row>
    <row r="272" spans="1:15" ht="25.95" customHeight="1">
      <c r="A272" s="64"/>
      <c r="B272" s="204"/>
      <c r="C272" s="107" t="s">
        <v>692</v>
      </c>
      <c r="D272" s="107"/>
      <c r="E272" s="205"/>
      <c r="F272" s="206"/>
      <c r="G272" s="206"/>
      <c r="H272" s="202"/>
      <c r="I272" s="107"/>
    </row>
    <row r="273" spans="1:9" ht="25.95" customHeight="1">
      <c r="A273" s="65"/>
      <c r="B273" s="204" t="s">
        <v>262</v>
      </c>
      <c r="C273" s="107" t="s">
        <v>605</v>
      </c>
      <c r="D273" s="107"/>
      <c r="E273" s="205"/>
      <c r="F273" s="206"/>
      <c r="G273" s="206"/>
      <c r="H273" s="202"/>
      <c r="I273" s="107"/>
    </row>
    <row r="274" spans="1:9" ht="24" customHeight="1">
      <c r="A274" s="65"/>
      <c r="B274" s="204"/>
      <c r="C274" s="207"/>
      <c r="D274" s="107"/>
      <c r="E274" s="205"/>
      <c r="F274" s="206"/>
      <c r="G274" s="206"/>
      <c r="H274" s="202"/>
      <c r="I274" s="107"/>
    </row>
    <row r="275" spans="1:9" ht="24" customHeight="1">
      <c r="A275" s="323"/>
      <c r="B275" s="204"/>
      <c r="C275" s="107"/>
      <c r="D275" s="107"/>
      <c r="E275" s="203"/>
      <c r="F275" s="203"/>
      <c r="G275" s="107"/>
      <c r="H275" s="107"/>
      <c r="I275" s="107"/>
    </row>
    <row r="276" spans="1:9" ht="24" customHeight="1">
      <c r="A276" s="323"/>
      <c r="B276" s="204"/>
      <c r="C276" s="107"/>
      <c r="D276" s="107"/>
      <c r="E276" s="203"/>
      <c r="F276" s="203"/>
      <c r="G276" s="107"/>
      <c r="H276" s="107"/>
      <c r="I276" s="107"/>
    </row>
    <row r="277" spans="1:9" ht="24" customHeight="1">
      <c r="A277" s="323"/>
      <c r="B277" s="204"/>
      <c r="C277" s="107"/>
      <c r="D277" s="107"/>
      <c r="E277" s="203"/>
      <c r="F277" s="203"/>
      <c r="G277" s="107"/>
      <c r="H277" s="107"/>
      <c r="I277" s="107"/>
    </row>
    <row r="278" spans="1:9" ht="20.399999999999999">
      <c r="A278" s="323"/>
      <c r="B278" s="107"/>
      <c r="C278" s="107"/>
      <c r="D278" s="107"/>
      <c r="E278" s="324"/>
      <c r="F278" s="203"/>
      <c r="G278" s="107"/>
      <c r="H278" s="107"/>
      <c r="I278" s="107"/>
    </row>
    <row r="279" spans="1:9" ht="20.399999999999999">
      <c r="A279" s="323"/>
      <c r="B279" s="107"/>
      <c r="C279" s="107"/>
      <c r="D279" s="325" t="s">
        <v>506</v>
      </c>
      <c r="E279" s="203"/>
      <c r="F279" s="203"/>
      <c r="G279" s="107"/>
      <c r="H279" s="107"/>
      <c r="I279" s="107"/>
    </row>
    <row r="280" spans="1:9" ht="20.399999999999999">
      <c r="A280" s="323"/>
      <c r="B280" s="107"/>
      <c r="C280" s="107"/>
      <c r="D280" s="325" t="s">
        <v>62</v>
      </c>
      <c r="E280" s="203"/>
      <c r="F280" s="203"/>
      <c r="G280" s="107"/>
      <c r="H280" s="107"/>
      <c r="I280" s="107"/>
    </row>
    <row r="281" spans="1:9" ht="20.399999999999999">
      <c r="A281" s="323"/>
      <c r="B281" s="107"/>
      <c r="C281" s="107"/>
      <c r="D281" s="107"/>
      <c r="E281" s="203"/>
      <c r="F281" s="203"/>
      <c r="G281" s="107"/>
      <c r="H281" s="107"/>
      <c r="I281" s="107"/>
    </row>
    <row r="282" spans="1:9" ht="20.399999999999999">
      <c r="A282" s="323"/>
      <c r="B282" s="107"/>
      <c r="C282" s="107"/>
      <c r="D282" s="107"/>
      <c r="E282" s="203"/>
      <c r="F282" s="203"/>
      <c r="G282" s="107"/>
      <c r="H282" s="107"/>
      <c r="I282" s="107"/>
    </row>
    <row r="283" spans="1:9" ht="20.399999999999999">
      <c r="A283" s="323"/>
      <c r="B283" s="107"/>
      <c r="C283" s="107"/>
      <c r="D283" s="107"/>
      <c r="E283" s="203"/>
      <c r="F283" s="203"/>
      <c r="G283" s="107"/>
      <c r="H283" s="107"/>
      <c r="I283" s="107"/>
    </row>
    <row r="284" spans="1:9" ht="20.399999999999999">
      <c r="A284" s="323"/>
      <c r="B284" s="107"/>
      <c r="C284" s="107"/>
      <c r="D284" s="107"/>
      <c r="E284" s="203"/>
      <c r="F284" s="203"/>
      <c r="G284" s="107"/>
      <c r="H284" s="107"/>
      <c r="I284" s="107"/>
    </row>
    <row r="285" spans="1:9" ht="20.399999999999999">
      <c r="A285" s="323"/>
      <c r="B285" s="107"/>
      <c r="C285" s="107"/>
      <c r="D285" s="107"/>
      <c r="E285" s="203"/>
      <c r="F285" s="203"/>
      <c r="G285" s="107"/>
      <c r="H285" s="107"/>
      <c r="I285" s="107"/>
    </row>
    <row r="286" spans="1:9" ht="20.399999999999999">
      <c r="A286" s="323"/>
      <c r="B286" s="107"/>
      <c r="C286" s="107"/>
      <c r="D286" s="107"/>
      <c r="E286" s="203"/>
      <c r="F286" s="203"/>
      <c r="G286" s="107"/>
      <c r="H286" s="107"/>
      <c r="I286" s="107"/>
    </row>
    <row r="287" spans="1:9" ht="20.399999999999999">
      <c r="A287" s="323"/>
      <c r="B287" s="107"/>
      <c r="C287" s="107"/>
      <c r="D287" s="107"/>
      <c r="E287" s="203"/>
      <c r="F287" s="203"/>
      <c r="G287" s="107"/>
      <c r="H287" s="107"/>
      <c r="I287" s="107"/>
    </row>
    <row r="288" spans="1:9" ht="20.399999999999999">
      <c r="A288" s="323"/>
      <c r="B288" s="107"/>
      <c r="C288" s="107"/>
      <c r="D288" s="107"/>
      <c r="E288" s="203"/>
      <c r="F288" s="203"/>
      <c r="G288" s="107"/>
      <c r="H288" s="107"/>
      <c r="I288" s="107"/>
    </row>
    <row r="289" spans="1:9" ht="20.399999999999999">
      <c r="A289" s="323"/>
      <c r="B289" s="107"/>
      <c r="C289" s="107"/>
      <c r="D289" s="107"/>
      <c r="E289" s="203"/>
      <c r="F289" s="203"/>
      <c r="G289" s="107"/>
      <c r="H289" s="107"/>
      <c r="I289" s="107"/>
    </row>
    <row r="290" spans="1:9" ht="20.399999999999999">
      <c r="A290" s="323"/>
      <c r="B290" s="107"/>
      <c r="C290" s="107"/>
      <c r="D290" s="107"/>
      <c r="E290" s="203"/>
      <c r="F290" s="203"/>
      <c r="G290" s="107"/>
      <c r="H290" s="107"/>
      <c r="I290" s="107"/>
    </row>
    <row r="291" spans="1:9" ht="20.399999999999999">
      <c r="A291" s="323"/>
      <c r="B291" s="107"/>
      <c r="C291" s="107"/>
      <c r="D291" s="107"/>
      <c r="E291" s="203"/>
      <c r="F291" s="203"/>
      <c r="G291" s="107"/>
      <c r="H291" s="107"/>
      <c r="I291" s="107"/>
    </row>
    <row r="292" spans="1:9" ht="20.399999999999999">
      <c r="A292" s="323"/>
      <c r="B292" s="107"/>
      <c r="C292" s="107"/>
      <c r="D292" s="107"/>
      <c r="E292" s="203"/>
      <c r="F292" s="203"/>
      <c r="G292" s="107"/>
      <c r="H292" s="107"/>
      <c r="I292" s="107"/>
    </row>
    <row r="293" spans="1:9" ht="20.399999999999999">
      <c r="A293" s="323"/>
      <c r="B293" s="107"/>
      <c r="C293" s="107"/>
      <c r="D293" s="107"/>
      <c r="E293" s="203"/>
      <c r="F293" s="203"/>
      <c r="G293" s="107"/>
      <c r="H293" s="107"/>
      <c r="I293" s="107"/>
    </row>
    <row r="294" spans="1:9" ht="20.399999999999999">
      <c r="A294" s="323"/>
      <c r="B294" s="107"/>
      <c r="C294" s="107"/>
      <c r="D294" s="107"/>
      <c r="E294" s="203"/>
      <c r="F294" s="203"/>
      <c r="G294" s="107"/>
      <c r="H294" s="107"/>
      <c r="I294" s="107"/>
    </row>
    <row r="295" spans="1:9" ht="20.399999999999999">
      <c r="A295" s="323"/>
      <c r="B295" s="107"/>
      <c r="C295" s="107"/>
      <c r="D295" s="107"/>
      <c r="E295" s="203"/>
      <c r="F295" s="203"/>
      <c r="G295" s="107"/>
      <c r="H295" s="107"/>
      <c r="I295" s="107"/>
    </row>
    <row r="296" spans="1:9" ht="20.399999999999999">
      <c r="A296" s="323"/>
      <c r="B296" s="107"/>
      <c r="C296" s="107"/>
      <c r="D296" s="107"/>
      <c r="E296" s="203"/>
      <c r="F296" s="203"/>
      <c r="G296" s="107"/>
      <c r="H296" s="107"/>
      <c r="I296" s="107"/>
    </row>
    <row r="297" spans="1:9" ht="20.399999999999999">
      <c r="A297" s="323"/>
      <c r="B297" s="107"/>
      <c r="C297" s="107"/>
      <c r="D297" s="107"/>
      <c r="E297" s="203"/>
      <c r="F297" s="203"/>
      <c r="G297" s="107"/>
      <c r="H297" s="107"/>
      <c r="I297" s="107"/>
    </row>
    <row r="298" spans="1:9" ht="20.399999999999999">
      <c r="A298" s="323"/>
      <c r="B298" s="107"/>
      <c r="C298" s="107"/>
      <c r="D298" s="107"/>
      <c r="E298" s="203"/>
      <c r="F298" s="203"/>
      <c r="G298" s="107"/>
      <c r="H298" s="107"/>
      <c r="I298" s="107"/>
    </row>
    <row r="299" spans="1:9" ht="20.399999999999999">
      <c r="A299" s="323"/>
      <c r="B299" s="107"/>
      <c r="D299" s="106"/>
      <c r="E299" s="106"/>
      <c r="F299" s="106"/>
      <c r="G299" s="106"/>
      <c r="H299" s="106"/>
      <c r="I299" s="106"/>
    </row>
    <row r="300" spans="1:9" ht="20.399999999999999">
      <c r="A300" s="323"/>
      <c r="B300" s="107"/>
      <c r="D300" s="106"/>
      <c r="E300" s="106"/>
      <c r="F300" s="106"/>
      <c r="G300" s="106"/>
      <c r="H300" s="106"/>
      <c r="I300" s="106"/>
    </row>
    <row r="301" spans="1:9" ht="20.399999999999999">
      <c r="A301" s="323"/>
      <c r="B301" s="107"/>
      <c r="C301" s="105"/>
      <c r="D301" s="106"/>
      <c r="E301" s="106"/>
      <c r="F301" s="106"/>
      <c r="G301" s="106"/>
      <c r="H301" s="106"/>
      <c r="I301" s="106"/>
    </row>
    <row r="302" spans="1:9" ht="20.399999999999999">
      <c r="A302" s="323"/>
      <c r="B302" s="107"/>
      <c r="C302" s="105"/>
      <c r="D302" s="106"/>
      <c r="E302" s="106"/>
      <c r="F302" s="106"/>
      <c r="G302" s="106"/>
      <c r="H302" s="106"/>
      <c r="I302" s="106"/>
    </row>
    <row r="303" spans="1:9" ht="20.399999999999999">
      <c r="A303" s="323"/>
      <c r="B303" s="107"/>
      <c r="C303" s="107"/>
      <c r="D303" s="107"/>
      <c r="E303" s="204"/>
      <c r="F303" s="107"/>
      <c r="G303" s="107"/>
      <c r="H303" s="107"/>
      <c r="I303" s="107"/>
    </row>
    <row r="304" spans="1:9" ht="20.399999999999999">
      <c r="A304" s="323"/>
      <c r="B304" s="107"/>
      <c r="C304" s="107"/>
      <c r="D304" s="107"/>
      <c r="E304" s="204"/>
      <c r="F304" s="107"/>
      <c r="G304" s="107"/>
      <c r="H304" s="107"/>
      <c r="I304" s="107"/>
    </row>
    <row r="305" spans="1:9" ht="20.399999999999999">
      <c r="A305" s="323"/>
      <c r="B305" s="107"/>
      <c r="C305" s="107"/>
      <c r="D305" s="107"/>
      <c r="E305" s="6"/>
      <c r="F305" s="107"/>
      <c r="G305" s="107"/>
      <c r="H305" s="107"/>
      <c r="I305" s="107"/>
    </row>
    <row r="306" spans="1:9" ht="20.399999999999999">
      <c r="A306" s="323"/>
      <c r="B306" s="107"/>
      <c r="C306" s="107"/>
      <c r="D306" s="107"/>
      <c r="E306" s="6"/>
      <c r="F306" s="107"/>
      <c r="G306" s="107"/>
      <c r="H306" s="107"/>
      <c r="I306" s="107"/>
    </row>
    <row r="307" spans="1:9" ht="20.399999999999999">
      <c r="A307" s="323"/>
      <c r="B307" s="107"/>
      <c r="C307" s="107"/>
      <c r="D307" s="107"/>
      <c r="E307" s="204"/>
      <c r="F307" s="107"/>
      <c r="G307" s="107"/>
      <c r="H307" s="107"/>
      <c r="I307" s="107"/>
    </row>
    <row r="308" spans="1:9" ht="20.399999999999999">
      <c r="A308" s="323"/>
      <c r="B308" s="107"/>
      <c r="C308" s="107"/>
      <c r="D308" s="107"/>
      <c r="E308" s="204"/>
      <c r="F308" s="107"/>
      <c r="G308" s="107"/>
      <c r="H308" s="107"/>
      <c r="I308" s="107"/>
    </row>
    <row r="309" spans="1:9" ht="20.399999999999999">
      <c r="A309" s="323"/>
      <c r="B309" s="107"/>
      <c r="C309" s="107"/>
      <c r="D309" s="107"/>
      <c r="E309" s="204"/>
      <c r="F309" s="107"/>
      <c r="G309" s="107"/>
      <c r="H309" s="107"/>
      <c r="I309" s="107"/>
    </row>
    <row r="310" spans="1:9" ht="20.399999999999999">
      <c r="A310" s="323"/>
      <c r="B310" s="107"/>
      <c r="C310" s="107"/>
      <c r="D310" s="107"/>
      <c r="E310" s="204"/>
      <c r="F310" s="107"/>
      <c r="G310" s="107"/>
      <c r="H310" s="107"/>
      <c r="I310" s="107"/>
    </row>
    <row r="311" spans="1:9" ht="20.399999999999999">
      <c r="A311" s="323"/>
      <c r="B311" s="107"/>
      <c r="C311" s="107"/>
      <c r="F311" s="107"/>
      <c r="G311" s="107"/>
      <c r="H311" s="107"/>
      <c r="I311" s="107"/>
    </row>
    <row r="312" spans="1:9" ht="20.399999999999999">
      <c r="A312" s="323"/>
      <c r="B312" s="107"/>
      <c r="C312" s="107"/>
      <c r="F312" s="107"/>
      <c r="G312" s="107"/>
      <c r="H312" s="107"/>
      <c r="I312" s="107"/>
    </row>
    <row r="313" spans="1:9" ht="20.399999999999999">
      <c r="A313" s="323"/>
      <c r="B313" s="107"/>
      <c r="C313" s="107"/>
      <c r="D313" s="107"/>
      <c r="E313" s="204"/>
      <c r="F313" s="107"/>
      <c r="G313" s="107"/>
      <c r="H313" s="107"/>
      <c r="I313" s="107"/>
    </row>
    <row r="314" spans="1:9" ht="20.399999999999999">
      <c r="A314" s="323"/>
      <c r="B314" s="107"/>
      <c r="C314" s="107"/>
      <c r="D314" s="107"/>
      <c r="E314" s="204"/>
      <c r="F314" s="107"/>
      <c r="G314" s="107"/>
      <c r="H314" s="107"/>
      <c r="I314" s="107"/>
    </row>
    <row r="315" spans="1:9" ht="20.399999999999999">
      <c r="A315" s="323"/>
      <c r="B315" s="107"/>
      <c r="C315" s="107"/>
      <c r="D315" s="107"/>
      <c r="E315" s="204"/>
      <c r="F315" s="107"/>
      <c r="G315" s="107"/>
      <c r="H315" s="107"/>
      <c r="I315" s="107"/>
    </row>
    <row r="316" spans="1:9" ht="20.399999999999999">
      <c r="A316" s="323"/>
      <c r="B316" s="107"/>
      <c r="C316" s="107"/>
      <c r="D316" s="107"/>
      <c r="E316" s="204"/>
      <c r="F316" s="107"/>
      <c r="G316" s="107"/>
      <c r="H316" s="107"/>
      <c r="I316" s="107"/>
    </row>
    <row r="317" spans="1:9" ht="20.399999999999999">
      <c r="A317" s="323"/>
      <c r="B317" s="107"/>
      <c r="C317" s="107"/>
      <c r="D317" s="107"/>
      <c r="E317" s="204"/>
      <c r="F317" s="107"/>
      <c r="G317" s="107"/>
      <c r="H317" s="107"/>
      <c r="I317" s="107"/>
    </row>
    <row r="318" spans="1:9" ht="20.399999999999999">
      <c r="A318" s="323"/>
      <c r="B318" s="107"/>
      <c r="C318" s="107"/>
      <c r="D318" s="107"/>
      <c r="E318" s="204"/>
      <c r="F318" s="107"/>
      <c r="G318" s="107"/>
      <c r="H318" s="107"/>
      <c r="I318" s="107"/>
    </row>
    <row r="319" spans="1:9" ht="20.399999999999999">
      <c r="A319" s="323"/>
      <c r="B319" s="107"/>
      <c r="C319" s="107"/>
      <c r="D319" s="107"/>
      <c r="E319" s="204"/>
      <c r="F319" s="107"/>
      <c r="G319" s="107"/>
      <c r="H319" s="107"/>
      <c r="I319" s="107"/>
    </row>
    <row r="320" spans="1:9" ht="20.399999999999999">
      <c r="A320" s="323"/>
      <c r="B320" s="107"/>
      <c r="C320" s="107"/>
      <c r="D320" s="107"/>
      <c r="E320" s="204"/>
      <c r="F320" s="107"/>
      <c r="G320" s="107"/>
      <c r="H320" s="107"/>
      <c r="I320" s="107"/>
    </row>
    <row r="321" spans="1:9" ht="20.399999999999999">
      <c r="A321" s="323"/>
      <c r="B321" s="107"/>
      <c r="C321" s="107"/>
      <c r="D321" s="107"/>
      <c r="E321" s="204"/>
      <c r="F321" s="107"/>
      <c r="G321" s="107"/>
      <c r="H321" s="107"/>
      <c r="I321" s="107"/>
    </row>
    <row r="322" spans="1:9" ht="20.399999999999999">
      <c r="A322" s="323"/>
      <c r="B322" s="107"/>
      <c r="C322" s="107"/>
      <c r="D322" s="107"/>
      <c r="E322" s="204"/>
      <c r="F322" s="107"/>
      <c r="G322" s="107"/>
      <c r="H322" s="107"/>
      <c r="I322" s="107"/>
    </row>
    <row r="323" spans="1:9" ht="20.399999999999999">
      <c r="A323" s="323"/>
      <c r="B323" s="107"/>
      <c r="C323" s="107"/>
      <c r="D323" s="107"/>
      <c r="E323" s="204"/>
      <c r="F323" s="107"/>
      <c r="G323" s="107"/>
      <c r="H323" s="107"/>
      <c r="I323" s="107"/>
    </row>
    <row r="324" spans="1:9" ht="20.399999999999999">
      <c r="A324" s="323"/>
      <c r="B324" s="107"/>
      <c r="C324" s="107"/>
      <c r="D324" s="107"/>
      <c r="E324" s="204"/>
      <c r="F324" s="107"/>
      <c r="G324" s="107"/>
      <c r="H324" s="107"/>
      <c r="I324" s="107"/>
    </row>
    <row r="325" spans="1:9" ht="20.399999999999999">
      <c r="A325" s="323"/>
      <c r="B325" s="107"/>
      <c r="C325" s="107"/>
      <c r="D325" s="107"/>
      <c r="E325" s="204"/>
      <c r="F325" s="107"/>
      <c r="G325" s="107"/>
      <c r="H325" s="107"/>
      <c r="I325" s="107"/>
    </row>
    <row r="326" spans="1:9" ht="20.399999999999999">
      <c r="A326" s="323"/>
      <c r="B326" s="107"/>
      <c r="C326" s="107"/>
      <c r="D326" s="107"/>
      <c r="E326" s="204"/>
      <c r="F326" s="107"/>
      <c r="G326" s="107"/>
      <c r="H326" s="107"/>
      <c r="I326" s="107"/>
    </row>
    <row r="327" spans="1:9" ht="20.399999999999999">
      <c r="A327" s="323"/>
      <c r="B327" s="107"/>
      <c r="C327" s="107"/>
      <c r="D327" s="107"/>
      <c r="E327" s="204"/>
      <c r="F327" s="107"/>
      <c r="G327" s="107"/>
      <c r="H327" s="107"/>
      <c r="I327" s="107"/>
    </row>
    <row r="328" spans="1:9" ht="20.399999999999999">
      <c r="A328" s="323"/>
      <c r="B328" s="107"/>
      <c r="C328" s="107"/>
      <c r="D328" s="107"/>
      <c r="E328" s="204"/>
      <c r="F328" s="107"/>
      <c r="G328" s="107"/>
      <c r="H328" s="107"/>
      <c r="I328" s="107"/>
    </row>
    <row r="329" spans="1:9" ht="20.399999999999999">
      <c r="A329" s="323"/>
      <c r="B329" s="107"/>
      <c r="C329" s="107"/>
      <c r="D329" s="107"/>
      <c r="E329" s="204"/>
      <c r="F329" s="107"/>
      <c r="G329" s="107"/>
      <c r="H329" s="107"/>
      <c r="I329" s="107"/>
    </row>
    <row r="330" spans="1:9" ht="20.399999999999999">
      <c r="A330" s="323"/>
      <c r="B330" s="107"/>
      <c r="C330" s="107"/>
      <c r="D330" s="107"/>
      <c r="E330" s="204"/>
      <c r="F330" s="107"/>
      <c r="G330" s="107"/>
      <c r="H330" s="107"/>
      <c r="I330" s="107"/>
    </row>
    <row r="331" spans="1:9" ht="20.399999999999999">
      <c r="A331" s="323"/>
      <c r="B331" s="107"/>
      <c r="C331" s="107"/>
      <c r="D331" s="107"/>
      <c r="E331" s="204"/>
      <c r="F331" s="107"/>
      <c r="G331" s="107"/>
      <c r="H331" s="107"/>
      <c r="I331" s="107"/>
    </row>
    <row r="332" spans="1:9" ht="20.399999999999999">
      <c r="A332" s="323"/>
      <c r="B332" s="107"/>
      <c r="C332" s="107"/>
      <c r="D332" s="107"/>
      <c r="E332" s="204"/>
      <c r="F332" s="107"/>
      <c r="G332" s="107"/>
      <c r="H332" s="107"/>
      <c r="I332" s="107"/>
    </row>
    <row r="333" spans="1:9" ht="20.399999999999999">
      <c r="A333" s="323"/>
      <c r="B333" s="107"/>
      <c r="C333" s="107"/>
      <c r="D333" s="107"/>
      <c r="E333" s="204"/>
      <c r="F333" s="107"/>
      <c r="G333" s="107"/>
      <c r="H333" s="107"/>
      <c r="I333" s="107"/>
    </row>
    <row r="334" spans="1:9" ht="20.399999999999999">
      <c r="A334" s="323"/>
      <c r="B334" s="107"/>
      <c r="C334" s="107"/>
      <c r="D334" s="107"/>
      <c r="E334" s="204"/>
      <c r="F334" s="107"/>
      <c r="G334" s="107"/>
      <c r="H334" s="107"/>
      <c r="I334" s="107"/>
    </row>
    <row r="335" spans="1:9" ht="20.399999999999999">
      <c r="A335" s="323"/>
      <c r="B335" s="107"/>
      <c r="C335" s="107"/>
      <c r="D335" s="107"/>
      <c r="E335" s="204"/>
      <c r="F335" s="107"/>
      <c r="G335" s="107"/>
      <c r="H335" s="107"/>
      <c r="I335" s="107"/>
    </row>
    <row r="336" spans="1:9" ht="20.399999999999999">
      <c r="A336" s="323"/>
      <c r="B336" s="107"/>
      <c r="C336" s="107"/>
      <c r="D336" s="107"/>
      <c r="E336" s="204"/>
      <c r="F336" s="107"/>
      <c r="G336" s="107"/>
      <c r="H336" s="107"/>
      <c r="I336" s="107"/>
    </row>
    <row r="337" spans="1:9" ht="20.399999999999999">
      <c r="A337" s="323"/>
      <c r="B337" s="107"/>
      <c r="C337" s="107"/>
      <c r="D337" s="107"/>
      <c r="E337" s="204"/>
      <c r="F337" s="107"/>
      <c r="G337" s="107"/>
      <c r="H337" s="107"/>
      <c r="I337" s="107"/>
    </row>
    <row r="338" spans="1:9" ht="20.399999999999999">
      <c r="A338" s="323"/>
      <c r="B338" s="107"/>
      <c r="C338" s="107"/>
      <c r="D338" s="107"/>
      <c r="E338" s="204"/>
      <c r="F338" s="107"/>
      <c r="G338" s="107"/>
      <c r="H338" s="107"/>
      <c r="I338" s="107"/>
    </row>
    <row r="339" spans="1:9" ht="20.399999999999999">
      <c r="A339" s="323"/>
      <c r="B339" s="107"/>
      <c r="C339" s="107"/>
      <c r="D339" s="107"/>
      <c r="E339" s="204"/>
      <c r="F339" s="107"/>
      <c r="G339" s="107"/>
      <c r="H339" s="107"/>
      <c r="I339" s="107"/>
    </row>
    <row r="340" spans="1:9" ht="20.399999999999999">
      <c r="A340" s="323"/>
      <c r="B340" s="107"/>
      <c r="C340" s="107"/>
      <c r="D340" s="107"/>
      <c r="E340" s="204"/>
      <c r="F340" s="107"/>
      <c r="G340" s="107"/>
      <c r="H340" s="107"/>
      <c r="I340" s="107"/>
    </row>
    <row r="341" spans="1:9" ht="20.399999999999999">
      <c r="A341" s="323"/>
      <c r="B341" s="107"/>
      <c r="C341" s="107"/>
      <c r="D341" s="107"/>
      <c r="E341" s="204"/>
      <c r="F341" s="107"/>
      <c r="G341" s="107"/>
      <c r="H341" s="107"/>
      <c r="I341" s="107"/>
    </row>
    <row r="342" spans="1:9" ht="20.399999999999999">
      <c r="A342" s="323"/>
      <c r="B342" s="107"/>
      <c r="C342" s="107"/>
      <c r="D342" s="107"/>
      <c r="E342" s="204"/>
      <c r="F342" s="107"/>
      <c r="G342" s="107"/>
      <c r="H342" s="107"/>
      <c r="I342" s="107"/>
    </row>
    <row r="343" spans="1:9" ht="20.399999999999999">
      <c r="A343" s="323"/>
      <c r="B343" s="107"/>
      <c r="C343" s="107"/>
      <c r="D343" s="107"/>
      <c r="E343" s="204"/>
      <c r="F343" s="107"/>
      <c r="G343" s="107"/>
      <c r="H343" s="107"/>
      <c r="I343" s="107"/>
    </row>
    <row r="344" spans="1:9" ht="20.399999999999999">
      <c r="A344" s="323"/>
      <c r="B344" s="107"/>
      <c r="C344" s="107"/>
      <c r="D344" s="107"/>
      <c r="E344" s="204"/>
      <c r="F344" s="107"/>
      <c r="G344" s="107"/>
      <c r="H344" s="107"/>
      <c r="I344" s="107"/>
    </row>
    <row r="345" spans="1:9" ht="20.399999999999999">
      <c r="A345" s="323"/>
      <c r="B345" s="107"/>
      <c r="C345" s="107"/>
      <c r="D345" s="107"/>
      <c r="E345" s="204"/>
      <c r="F345" s="107"/>
      <c r="G345" s="107"/>
      <c r="H345" s="107"/>
      <c r="I345" s="107"/>
    </row>
    <row r="346" spans="1:9" ht="20.399999999999999">
      <c r="A346" s="323"/>
      <c r="B346" s="107"/>
      <c r="C346" s="107"/>
      <c r="D346" s="107"/>
      <c r="E346" s="204"/>
      <c r="F346" s="107"/>
      <c r="G346" s="107"/>
      <c r="H346" s="107"/>
      <c r="I346" s="107"/>
    </row>
    <row r="347" spans="1:9" ht="20.399999999999999">
      <c r="A347" s="323"/>
      <c r="B347" s="107"/>
      <c r="C347" s="107"/>
      <c r="D347" s="107"/>
      <c r="E347" s="204"/>
      <c r="F347" s="107"/>
      <c r="G347" s="107"/>
      <c r="H347" s="107"/>
      <c r="I347" s="107"/>
    </row>
    <row r="348" spans="1:9" ht="20.399999999999999">
      <c r="A348" s="323"/>
      <c r="B348" s="107"/>
      <c r="C348" s="107"/>
      <c r="D348" s="107"/>
      <c r="E348" s="204"/>
      <c r="F348" s="107"/>
      <c r="G348" s="107"/>
      <c r="H348" s="107"/>
      <c r="I348" s="107"/>
    </row>
    <row r="349" spans="1:9" ht="20.399999999999999">
      <c r="A349" s="323"/>
      <c r="B349" s="107"/>
      <c r="C349" s="107"/>
      <c r="D349" s="107"/>
      <c r="E349" s="204"/>
      <c r="F349" s="107"/>
      <c r="G349" s="107"/>
      <c r="H349" s="107"/>
      <c r="I349" s="107"/>
    </row>
    <row r="350" spans="1:9" ht="20.399999999999999">
      <c r="A350" s="323"/>
      <c r="B350" s="107"/>
      <c r="C350" s="107"/>
      <c r="D350" s="107"/>
      <c r="E350" s="204"/>
      <c r="F350" s="107"/>
      <c r="G350" s="107"/>
      <c r="H350" s="107"/>
      <c r="I350" s="107"/>
    </row>
    <row r="351" spans="1:9" ht="20.399999999999999">
      <c r="A351" s="323"/>
      <c r="B351" s="107"/>
      <c r="C351" s="107"/>
      <c r="D351" s="107"/>
      <c r="E351" s="204"/>
      <c r="F351" s="107"/>
      <c r="G351" s="107"/>
      <c r="H351" s="107"/>
      <c r="I351" s="107"/>
    </row>
    <row r="352" spans="1:9" ht="20.399999999999999">
      <c r="A352" s="323"/>
      <c r="B352" s="107"/>
      <c r="C352" s="107"/>
      <c r="D352" s="107"/>
      <c r="E352" s="204"/>
      <c r="F352" s="107"/>
      <c r="G352" s="107"/>
      <c r="H352" s="107"/>
      <c r="I352" s="107"/>
    </row>
    <row r="353" spans="1:9" ht="20.399999999999999">
      <c r="A353" s="323"/>
      <c r="B353" s="107"/>
      <c r="C353" s="107"/>
      <c r="D353" s="107"/>
      <c r="E353" s="204"/>
      <c r="F353" s="107"/>
      <c r="G353" s="107"/>
      <c r="H353" s="107"/>
      <c r="I353" s="107"/>
    </row>
    <row r="354" spans="1:9" ht="20.399999999999999">
      <c r="A354" s="323"/>
      <c r="B354" s="107"/>
      <c r="C354" s="107"/>
      <c r="D354" s="107"/>
      <c r="E354" s="204"/>
      <c r="F354" s="107"/>
      <c r="G354" s="107"/>
      <c r="H354" s="107"/>
      <c r="I354" s="107"/>
    </row>
    <row r="355" spans="1:9" ht="20.399999999999999">
      <c r="A355" s="323"/>
      <c r="B355" s="107"/>
      <c r="C355" s="107"/>
      <c r="D355" s="107"/>
      <c r="E355" s="204"/>
      <c r="F355" s="107"/>
      <c r="G355" s="107"/>
      <c r="H355" s="107"/>
      <c r="I355" s="107"/>
    </row>
    <row r="356" spans="1:9" ht="20.399999999999999">
      <c r="A356" s="323"/>
      <c r="B356" s="107"/>
      <c r="C356" s="107"/>
      <c r="D356" s="107"/>
      <c r="E356" s="204"/>
      <c r="F356" s="107"/>
      <c r="G356" s="107"/>
      <c r="H356" s="107"/>
      <c r="I356" s="107"/>
    </row>
    <row r="357" spans="1:9" ht="20.399999999999999">
      <c r="A357" s="323"/>
      <c r="B357" s="107"/>
      <c r="C357" s="107"/>
      <c r="D357" s="107"/>
      <c r="E357" s="204"/>
      <c r="F357" s="107"/>
      <c r="G357" s="107"/>
      <c r="H357" s="107"/>
      <c r="I357" s="107"/>
    </row>
    <row r="358" spans="1:9" ht="20.399999999999999">
      <c r="A358" s="323"/>
      <c r="B358" s="107"/>
      <c r="C358" s="107"/>
      <c r="D358" s="107"/>
      <c r="E358" s="204"/>
      <c r="F358" s="107"/>
      <c r="G358" s="107"/>
      <c r="H358" s="107"/>
      <c r="I358" s="107"/>
    </row>
    <row r="359" spans="1:9" ht="20.399999999999999">
      <c r="A359" s="323"/>
      <c r="B359" s="107"/>
      <c r="C359" s="107"/>
      <c r="D359" s="107"/>
      <c r="E359" s="204"/>
      <c r="F359" s="107"/>
      <c r="G359" s="107"/>
      <c r="H359" s="107"/>
      <c r="I359" s="107"/>
    </row>
    <row r="360" spans="1:9" ht="20.399999999999999">
      <c r="A360" s="323"/>
      <c r="B360" s="107"/>
      <c r="C360" s="107"/>
      <c r="D360" s="107"/>
      <c r="E360" s="204"/>
      <c r="F360" s="107"/>
      <c r="G360" s="107"/>
      <c r="H360" s="107"/>
      <c r="I360" s="107"/>
    </row>
    <row r="361" spans="1:9" ht="20.399999999999999">
      <c r="A361" s="323"/>
      <c r="B361" s="107"/>
      <c r="C361" s="107"/>
      <c r="D361" s="107"/>
      <c r="E361" s="204"/>
      <c r="F361" s="107"/>
      <c r="G361" s="107"/>
      <c r="H361" s="107"/>
      <c r="I361" s="107"/>
    </row>
    <row r="362" spans="1:9" ht="20.399999999999999">
      <c r="A362" s="323"/>
      <c r="B362" s="107"/>
      <c r="C362" s="107"/>
      <c r="D362" s="107"/>
      <c r="E362" s="204"/>
      <c r="F362" s="107"/>
      <c r="G362" s="107"/>
      <c r="H362" s="107"/>
      <c r="I362" s="107"/>
    </row>
    <row r="363" spans="1:9" ht="20.399999999999999">
      <c r="A363" s="323"/>
      <c r="B363" s="107"/>
      <c r="C363" s="107"/>
      <c r="D363" s="107"/>
      <c r="E363" s="204"/>
      <c r="F363" s="107"/>
      <c r="G363" s="107"/>
      <c r="H363" s="107"/>
      <c r="I363" s="107"/>
    </row>
    <row r="364" spans="1:9" ht="20.399999999999999">
      <c r="A364" s="323"/>
      <c r="B364" s="107"/>
      <c r="C364" s="107"/>
      <c r="D364" s="107"/>
      <c r="E364" s="204"/>
      <c r="F364" s="107"/>
      <c r="G364" s="107"/>
      <c r="H364" s="107"/>
      <c r="I364" s="107"/>
    </row>
    <row r="365" spans="1:9" ht="20.399999999999999">
      <c r="A365" s="323"/>
      <c r="B365" s="107"/>
      <c r="C365" s="107"/>
      <c r="D365" s="107"/>
      <c r="E365" s="204"/>
      <c r="F365" s="107"/>
      <c r="G365" s="107"/>
      <c r="H365" s="107"/>
      <c r="I365" s="107"/>
    </row>
    <row r="366" spans="1:9" ht="20.399999999999999">
      <c r="A366" s="323"/>
      <c r="B366" s="107"/>
      <c r="C366" s="107"/>
      <c r="D366" s="107"/>
      <c r="E366" s="204"/>
      <c r="F366" s="107"/>
      <c r="G366" s="107"/>
      <c r="H366" s="107"/>
      <c r="I366" s="107"/>
    </row>
    <row r="367" spans="1:9" ht="20.399999999999999">
      <c r="A367" s="323"/>
      <c r="B367" s="107"/>
      <c r="C367" s="107"/>
      <c r="D367" s="107"/>
      <c r="E367" s="204"/>
      <c r="F367" s="107"/>
      <c r="G367" s="107"/>
      <c r="H367" s="107"/>
      <c r="I367" s="107"/>
    </row>
    <row r="368" spans="1:9" ht="20.399999999999999">
      <c r="A368" s="323"/>
      <c r="B368" s="107"/>
      <c r="C368" s="107"/>
      <c r="D368" s="107"/>
      <c r="E368" s="204"/>
      <c r="F368" s="107"/>
      <c r="G368" s="107"/>
      <c r="H368" s="107"/>
      <c r="I368" s="107"/>
    </row>
    <row r="369" spans="1:9" ht="20.399999999999999">
      <c r="A369" s="323"/>
      <c r="B369" s="107"/>
      <c r="C369" s="107"/>
      <c r="D369" s="107"/>
      <c r="E369" s="204"/>
      <c r="F369" s="107"/>
      <c r="G369" s="107"/>
      <c r="H369" s="107"/>
      <c r="I369" s="107"/>
    </row>
    <row r="370" spans="1:9" ht="20.399999999999999">
      <c r="A370" s="323"/>
      <c r="B370" s="107"/>
      <c r="C370" s="107"/>
      <c r="D370" s="107"/>
      <c r="E370" s="204"/>
      <c r="F370" s="107"/>
      <c r="G370" s="107"/>
      <c r="H370" s="107"/>
      <c r="I370" s="107"/>
    </row>
    <row r="371" spans="1:9" ht="20.399999999999999">
      <c r="A371" s="323"/>
      <c r="B371" s="107"/>
      <c r="C371" s="107"/>
      <c r="D371" s="107"/>
      <c r="E371" s="204"/>
      <c r="F371" s="107"/>
      <c r="G371" s="107"/>
      <c r="H371" s="107"/>
      <c r="I371" s="107"/>
    </row>
    <row r="372" spans="1:9" ht="20.399999999999999">
      <c r="A372" s="323"/>
      <c r="B372" s="107"/>
      <c r="C372" s="107"/>
      <c r="D372" s="107"/>
      <c r="E372" s="204"/>
      <c r="F372" s="107"/>
      <c r="G372" s="107"/>
      <c r="H372" s="107"/>
      <c r="I372" s="107"/>
    </row>
    <row r="373" spans="1:9" ht="20.399999999999999">
      <c r="A373" s="323"/>
      <c r="B373" s="107"/>
      <c r="C373" s="107"/>
      <c r="D373" s="107"/>
      <c r="E373" s="204"/>
      <c r="F373" s="107"/>
      <c r="G373" s="107"/>
      <c r="H373" s="107"/>
      <c r="I373" s="107"/>
    </row>
    <row r="374" spans="1:9" ht="20.399999999999999">
      <c r="A374" s="323"/>
      <c r="B374" s="107"/>
      <c r="C374" s="107"/>
      <c r="D374" s="107"/>
      <c r="E374" s="204"/>
      <c r="F374" s="107"/>
      <c r="G374" s="107"/>
      <c r="H374" s="107"/>
      <c r="I374" s="107"/>
    </row>
    <row r="375" spans="1:9" ht="20.399999999999999">
      <c r="A375" s="323"/>
      <c r="B375" s="107"/>
      <c r="C375" s="107"/>
      <c r="D375" s="107"/>
      <c r="E375" s="204"/>
      <c r="F375" s="107"/>
      <c r="G375" s="107"/>
      <c r="H375" s="107"/>
      <c r="I375" s="107"/>
    </row>
    <row r="376" spans="1:9" ht="20.399999999999999">
      <c r="A376" s="323"/>
      <c r="B376" s="107"/>
      <c r="C376" s="107"/>
      <c r="D376" s="107"/>
      <c r="E376" s="204"/>
      <c r="F376" s="107"/>
      <c r="G376" s="107"/>
      <c r="H376" s="107"/>
      <c r="I376" s="107"/>
    </row>
    <row r="377" spans="1:9" ht="20.399999999999999">
      <c r="A377" s="323"/>
      <c r="B377" s="107"/>
      <c r="C377" s="107"/>
      <c r="D377" s="107"/>
      <c r="E377" s="204"/>
      <c r="F377" s="107"/>
      <c r="G377" s="107"/>
      <c r="H377" s="107"/>
      <c r="I377" s="107"/>
    </row>
    <row r="378" spans="1:9" ht="20.399999999999999">
      <c r="A378" s="323"/>
      <c r="B378" s="107"/>
      <c r="C378" s="107"/>
      <c r="D378" s="107"/>
      <c r="E378" s="204"/>
      <c r="F378" s="107"/>
      <c r="G378" s="107"/>
      <c r="H378" s="107"/>
      <c r="I378" s="107"/>
    </row>
    <row r="379" spans="1:9" ht="20.399999999999999">
      <c r="A379" s="323"/>
      <c r="B379" s="107"/>
      <c r="C379" s="107"/>
      <c r="D379" s="107"/>
      <c r="E379" s="204"/>
      <c r="F379" s="107"/>
      <c r="G379" s="107"/>
      <c r="H379" s="107"/>
      <c r="I379" s="107"/>
    </row>
    <row r="380" spans="1:9" ht="20.399999999999999">
      <c r="A380" s="323"/>
      <c r="B380" s="107"/>
      <c r="C380" s="107"/>
      <c r="D380" s="107"/>
      <c r="E380" s="204"/>
      <c r="F380" s="107"/>
      <c r="G380" s="107"/>
      <c r="H380" s="107"/>
      <c r="I380" s="107"/>
    </row>
    <row r="381" spans="1:9" ht="20.399999999999999">
      <c r="A381" s="323"/>
      <c r="B381" s="107"/>
      <c r="C381" s="107"/>
      <c r="D381" s="107"/>
      <c r="E381" s="204"/>
      <c r="F381" s="107"/>
      <c r="G381" s="107"/>
      <c r="H381" s="107"/>
      <c r="I381" s="107"/>
    </row>
    <row r="382" spans="1:9" ht="20.399999999999999">
      <c r="A382" s="323"/>
      <c r="B382" s="107"/>
      <c r="C382" s="107"/>
      <c r="D382" s="107"/>
      <c r="E382" s="204"/>
      <c r="F382" s="107"/>
      <c r="G382" s="107"/>
      <c r="H382" s="107"/>
      <c r="I382" s="107"/>
    </row>
    <row r="383" spans="1:9" ht="20.399999999999999">
      <c r="A383" s="323"/>
      <c r="B383" s="107"/>
      <c r="C383" s="107"/>
      <c r="D383" s="107"/>
      <c r="E383" s="204"/>
      <c r="F383" s="107"/>
      <c r="G383" s="107"/>
      <c r="H383" s="107"/>
      <c r="I383" s="107"/>
    </row>
    <row r="384" spans="1:9" ht="20.399999999999999">
      <c r="A384" s="323"/>
      <c r="B384" s="107"/>
      <c r="C384" s="107"/>
      <c r="D384" s="107"/>
      <c r="E384" s="204"/>
      <c r="F384" s="107"/>
      <c r="G384" s="107"/>
      <c r="H384" s="107"/>
      <c r="I384" s="107"/>
    </row>
    <row r="385" spans="1:9" ht="20.399999999999999">
      <c r="A385" s="323"/>
      <c r="B385" s="107"/>
      <c r="C385" s="107"/>
      <c r="D385" s="107"/>
      <c r="E385" s="204"/>
      <c r="F385" s="107"/>
      <c r="G385" s="107"/>
      <c r="H385" s="107"/>
      <c r="I385" s="107"/>
    </row>
    <row r="386" spans="1:9" ht="20.399999999999999">
      <c r="A386" s="323"/>
      <c r="B386" s="107"/>
      <c r="C386" s="107"/>
      <c r="D386" s="107"/>
      <c r="E386" s="204"/>
      <c r="F386" s="107"/>
      <c r="G386" s="107"/>
      <c r="H386" s="107"/>
      <c r="I386" s="107"/>
    </row>
    <row r="387" spans="1:9" ht="20.399999999999999">
      <c r="A387" s="323"/>
      <c r="B387" s="107"/>
      <c r="C387" s="107"/>
      <c r="D387" s="107"/>
      <c r="E387" s="204"/>
      <c r="F387" s="107"/>
      <c r="G387" s="107"/>
      <c r="H387" s="107"/>
      <c r="I387" s="107"/>
    </row>
    <row r="388" spans="1:9" ht="20.399999999999999">
      <c r="A388" s="323"/>
      <c r="B388" s="107"/>
      <c r="C388" s="107"/>
      <c r="D388" s="107"/>
      <c r="E388" s="204"/>
      <c r="F388" s="107"/>
      <c r="G388" s="107"/>
      <c r="H388" s="107"/>
      <c r="I388" s="107"/>
    </row>
    <row r="389" spans="1:9" ht="20.399999999999999">
      <c r="A389" s="323"/>
      <c r="B389" s="107"/>
      <c r="C389" s="107"/>
      <c r="D389" s="107"/>
      <c r="E389" s="204"/>
      <c r="F389" s="107"/>
      <c r="G389" s="107"/>
      <c r="H389" s="107"/>
      <c r="I389" s="107"/>
    </row>
    <row r="390" spans="1:9" ht="20.399999999999999">
      <c r="A390" s="323"/>
      <c r="B390" s="107"/>
      <c r="C390" s="107"/>
      <c r="D390" s="107"/>
      <c r="E390" s="204"/>
      <c r="F390" s="107"/>
      <c r="G390" s="107"/>
      <c r="H390" s="107"/>
      <c r="I390" s="107"/>
    </row>
    <row r="391" spans="1:9" ht="20.399999999999999">
      <c r="A391" s="323"/>
      <c r="B391" s="107"/>
      <c r="C391" s="107"/>
      <c r="D391" s="107"/>
      <c r="E391" s="204"/>
      <c r="F391" s="107"/>
      <c r="G391" s="107"/>
      <c r="H391" s="107"/>
      <c r="I391" s="107"/>
    </row>
    <row r="392" spans="1:9" ht="20.399999999999999">
      <c r="A392" s="323"/>
      <c r="B392" s="107"/>
      <c r="C392" s="107"/>
      <c r="D392" s="107"/>
      <c r="E392" s="204"/>
      <c r="F392" s="107"/>
      <c r="G392" s="107"/>
      <c r="H392" s="107"/>
      <c r="I392" s="107"/>
    </row>
    <row r="393" spans="1:9" ht="20.399999999999999">
      <c r="A393" s="323"/>
      <c r="B393" s="107"/>
      <c r="C393" s="107"/>
      <c r="D393" s="107"/>
      <c r="E393" s="204"/>
      <c r="F393" s="107"/>
      <c r="G393" s="107"/>
      <c r="H393" s="107"/>
      <c r="I393" s="107"/>
    </row>
    <row r="394" spans="1:9" ht="20.399999999999999">
      <c r="A394" s="323"/>
      <c r="B394" s="107"/>
      <c r="C394" s="107"/>
      <c r="D394" s="107"/>
      <c r="E394" s="204"/>
      <c r="F394" s="107"/>
      <c r="G394" s="107"/>
      <c r="H394" s="107"/>
      <c r="I394" s="107"/>
    </row>
    <row r="395" spans="1:9" ht="20.399999999999999">
      <c r="A395" s="323"/>
      <c r="B395" s="107"/>
      <c r="C395" s="107"/>
      <c r="D395" s="107"/>
      <c r="E395" s="204"/>
      <c r="F395" s="107"/>
      <c r="G395" s="107"/>
      <c r="H395" s="107"/>
      <c r="I395" s="107"/>
    </row>
    <row r="396" spans="1:9" ht="20.399999999999999">
      <c r="A396" s="323"/>
      <c r="B396" s="107"/>
      <c r="C396" s="107"/>
      <c r="D396" s="107"/>
      <c r="E396" s="204"/>
      <c r="F396" s="107"/>
      <c r="G396" s="107"/>
      <c r="H396" s="107"/>
      <c r="I396" s="107"/>
    </row>
    <row r="397" spans="1:9" ht="20.399999999999999">
      <c r="A397" s="323"/>
      <c r="B397" s="107"/>
      <c r="C397" s="107"/>
      <c r="D397" s="107"/>
      <c r="E397" s="204"/>
      <c r="F397" s="107"/>
      <c r="G397" s="107"/>
      <c r="H397" s="107"/>
      <c r="I397" s="107"/>
    </row>
    <row r="398" spans="1:9" ht="20.399999999999999">
      <c r="A398" s="323"/>
      <c r="B398" s="107"/>
      <c r="C398" s="107"/>
      <c r="D398" s="107"/>
      <c r="E398" s="204"/>
      <c r="F398" s="107"/>
      <c r="G398" s="107"/>
      <c r="H398" s="107"/>
      <c r="I398" s="107"/>
    </row>
    <row r="399" spans="1:9" ht="20.399999999999999">
      <c r="A399" s="323"/>
      <c r="B399" s="107"/>
      <c r="C399" s="107"/>
      <c r="D399" s="107"/>
      <c r="E399" s="204"/>
      <c r="F399" s="107"/>
      <c r="G399" s="107"/>
      <c r="H399" s="107"/>
      <c r="I399" s="107"/>
    </row>
    <row r="400" spans="1:9" ht="20.399999999999999">
      <c r="A400" s="323"/>
      <c r="B400" s="107"/>
      <c r="C400" s="107"/>
      <c r="D400" s="107"/>
      <c r="E400" s="204"/>
      <c r="F400" s="107"/>
      <c r="G400" s="107"/>
      <c r="H400" s="107"/>
      <c r="I400" s="107"/>
    </row>
    <row r="401" spans="1:9" ht="20.399999999999999">
      <c r="A401" s="323"/>
      <c r="B401" s="107"/>
      <c r="C401" s="107"/>
      <c r="D401" s="107"/>
      <c r="E401" s="204"/>
      <c r="F401" s="107"/>
      <c r="G401" s="107"/>
      <c r="H401" s="107"/>
      <c r="I401" s="107"/>
    </row>
    <row r="402" spans="1:9" ht="20.399999999999999">
      <c r="A402" s="323"/>
      <c r="B402" s="107"/>
      <c r="C402" s="107"/>
      <c r="D402" s="107"/>
      <c r="E402" s="204"/>
      <c r="F402" s="107"/>
      <c r="G402" s="107"/>
      <c r="H402" s="107"/>
      <c r="I402" s="107"/>
    </row>
    <row r="403" spans="1:9" ht="20.399999999999999">
      <c r="A403" s="323"/>
      <c r="B403" s="107"/>
      <c r="C403" s="107"/>
      <c r="D403" s="107"/>
      <c r="E403" s="204"/>
      <c r="F403" s="107"/>
      <c r="G403" s="107"/>
      <c r="H403" s="107"/>
      <c r="I403" s="107"/>
    </row>
    <row r="404" spans="1:9" ht="20.399999999999999">
      <c r="A404" s="323"/>
      <c r="B404" s="107"/>
      <c r="C404" s="107"/>
      <c r="D404" s="107"/>
      <c r="E404" s="204"/>
      <c r="F404" s="107"/>
      <c r="G404" s="107"/>
      <c r="H404" s="107"/>
      <c r="I404" s="107"/>
    </row>
    <row r="405" spans="1:9" ht="20.399999999999999">
      <c r="A405" s="323"/>
      <c r="B405" s="107"/>
      <c r="C405" s="107"/>
      <c r="D405" s="107"/>
      <c r="E405" s="204"/>
      <c r="F405" s="107"/>
      <c r="G405" s="107"/>
      <c r="H405" s="107"/>
      <c r="I405" s="107"/>
    </row>
    <row r="406" spans="1:9" ht="20.399999999999999">
      <c r="A406" s="323"/>
      <c r="B406" s="107"/>
      <c r="C406" s="107"/>
      <c r="D406" s="107"/>
      <c r="E406" s="204"/>
      <c r="F406" s="107"/>
      <c r="G406" s="107"/>
      <c r="H406" s="107"/>
      <c r="I406" s="107"/>
    </row>
    <row r="407" spans="1:9" ht="20.399999999999999">
      <c r="A407" s="323"/>
      <c r="B407" s="107"/>
      <c r="C407" s="107"/>
      <c r="D407" s="107"/>
      <c r="E407" s="204"/>
      <c r="F407" s="107"/>
      <c r="G407" s="107"/>
      <c r="H407" s="107"/>
      <c r="I407" s="107"/>
    </row>
    <row r="408" spans="1:9" ht="20.399999999999999">
      <c r="A408" s="323"/>
      <c r="B408" s="107"/>
      <c r="C408" s="107"/>
      <c r="D408" s="107"/>
      <c r="E408" s="204"/>
      <c r="F408" s="107"/>
      <c r="G408" s="107"/>
      <c r="H408" s="107"/>
      <c r="I408" s="107"/>
    </row>
    <row r="409" spans="1:9" ht="20.399999999999999">
      <c r="A409" s="323"/>
      <c r="B409" s="107"/>
      <c r="C409" s="107"/>
      <c r="D409" s="107"/>
      <c r="E409" s="204"/>
      <c r="F409" s="107"/>
      <c r="G409" s="107"/>
      <c r="H409" s="107"/>
      <c r="I409" s="107"/>
    </row>
    <row r="410" spans="1:9" ht="20.399999999999999">
      <c r="A410" s="323"/>
      <c r="B410" s="107"/>
      <c r="C410" s="107"/>
      <c r="D410" s="107"/>
      <c r="E410" s="204"/>
      <c r="F410" s="107"/>
      <c r="G410" s="107"/>
      <c r="H410" s="107"/>
      <c r="I410" s="107"/>
    </row>
    <row r="411" spans="1:9" ht="20.399999999999999">
      <c r="A411" s="323"/>
      <c r="B411" s="107"/>
      <c r="C411" s="107"/>
      <c r="D411" s="107"/>
      <c r="E411" s="204"/>
      <c r="F411" s="107"/>
      <c r="G411" s="107"/>
      <c r="H411" s="107"/>
      <c r="I411" s="107"/>
    </row>
    <row r="412" spans="1:9" ht="20.399999999999999">
      <c r="A412" s="323"/>
      <c r="B412" s="107"/>
      <c r="C412" s="107"/>
      <c r="D412" s="107"/>
      <c r="E412" s="204"/>
      <c r="F412" s="107"/>
      <c r="G412" s="107"/>
      <c r="H412" s="107"/>
      <c r="I412" s="107"/>
    </row>
    <row r="413" spans="1:9" ht="20.399999999999999">
      <c r="A413" s="323"/>
      <c r="B413" s="107"/>
      <c r="C413" s="107"/>
      <c r="D413" s="107"/>
      <c r="E413" s="204"/>
      <c r="F413" s="107"/>
      <c r="G413" s="107"/>
      <c r="H413" s="107"/>
      <c r="I413" s="107"/>
    </row>
    <row r="414" spans="1:9" ht="20.399999999999999">
      <c r="A414" s="323"/>
      <c r="B414" s="107"/>
      <c r="C414" s="107"/>
      <c r="D414" s="107"/>
      <c r="E414" s="204"/>
      <c r="F414" s="107"/>
      <c r="G414" s="107"/>
      <c r="H414" s="107"/>
      <c r="I414" s="107"/>
    </row>
    <row r="415" spans="1:9" ht="20.399999999999999">
      <c r="A415" s="323"/>
      <c r="B415" s="107"/>
      <c r="C415" s="107"/>
      <c r="D415" s="107"/>
      <c r="E415" s="204"/>
      <c r="F415" s="107"/>
      <c r="G415" s="107"/>
      <c r="H415" s="107"/>
      <c r="I415" s="107"/>
    </row>
    <row r="416" spans="1:9" ht="20.399999999999999">
      <c r="A416" s="323"/>
      <c r="B416" s="107"/>
      <c r="C416" s="107"/>
      <c r="D416" s="107"/>
      <c r="E416" s="204"/>
      <c r="F416" s="107"/>
      <c r="G416" s="107"/>
      <c r="H416" s="107"/>
      <c r="I416" s="107"/>
    </row>
    <row r="417" spans="1:9" ht="20.399999999999999">
      <c r="A417" s="323"/>
      <c r="B417" s="107"/>
      <c r="C417" s="107"/>
      <c r="D417" s="107"/>
      <c r="E417" s="204"/>
      <c r="F417" s="107"/>
      <c r="G417" s="107"/>
      <c r="H417" s="107"/>
      <c r="I417" s="107"/>
    </row>
    <row r="418" spans="1:9" ht="20.399999999999999">
      <c r="A418" s="323"/>
      <c r="B418" s="107"/>
      <c r="C418" s="107"/>
      <c r="D418" s="107"/>
      <c r="E418" s="204"/>
      <c r="F418" s="107"/>
      <c r="G418" s="107"/>
      <c r="H418" s="107"/>
      <c r="I418" s="107"/>
    </row>
    <row r="419" spans="1:9" ht="20.399999999999999">
      <c r="A419" s="323"/>
      <c r="B419" s="107"/>
      <c r="C419" s="107"/>
      <c r="D419" s="107"/>
      <c r="E419" s="204"/>
      <c r="F419" s="107"/>
      <c r="G419" s="107"/>
      <c r="H419" s="107"/>
      <c r="I419" s="107"/>
    </row>
    <row r="420" spans="1:9" ht="20.399999999999999">
      <c r="A420" s="323"/>
      <c r="B420" s="107"/>
      <c r="C420" s="107"/>
      <c r="D420" s="107"/>
      <c r="E420" s="204"/>
      <c r="F420" s="107"/>
      <c r="G420" s="107"/>
      <c r="H420" s="107"/>
      <c r="I420" s="107"/>
    </row>
    <row r="421" spans="1:9" ht="20.399999999999999">
      <c r="A421" s="323"/>
      <c r="B421" s="107"/>
      <c r="C421" s="107"/>
      <c r="D421" s="107"/>
      <c r="E421" s="204"/>
      <c r="F421" s="107"/>
      <c r="G421" s="107"/>
      <c r="H421" s="107"/>
      <c r="I421" s="107"/>
    </row>
    <row r="422" spans="1:9" ht="20.399999999999999">
      <c r="A422" s="323"/>
      <c r="B422" s="107"/>
      <c r="C422" s="107"/>
      <c r="D422" s="107"/>
      <c r="E422" s="204"/>
      <c r="F422" s="107"/>
      <c r="G422" s="107"/>
      <c r="H422" s="107"/>
      <c r="I422" s="107"/>
    </row>
    <row r="423" spans="1:9" ht="20.399999999999999">
      <c r="A423" s="323"/>
      <c r="B423" s="107"/>
      <c r="C423" s="107"/>
      <c r="D423" s="107"/>
      <c r="E423" s="204"/>
      <c r="F423" s="107"/>
      <c r="G423" s="107"/>
      <c r="H423" s="107"/>
      <c r="I423" s="107"/>
    </row>
    <row r="424" spans="1:9" ht="20.399999999999999">
      <c r="A424" s="323"/>
      <c r="B424" s="107"/>
      <c r="C424" s="107"/>
      <c r="D424" s="107"/>
      <c r="E424" s="204"/>
      <c r="F424" s="107"/>
      <c r="G424" s="107"/>
      <c r="H424" s="107"/>
      <c r="I424" s="107"/>
    </row>
    <row r="425" spans="1:9" ht="20.399999999999999">
      <c r="A425" s="323"/>
      <c r="B425" s="107"/>
      <c r="C425" s="107"/>
      <c r="D425" s="107"/>
      <c r="E425" s="204"/>
      <c r="F425" s="107"/>
      <c r="G425" s="107"/>
      <c r="H425" s="107"/>
      <c r="I425" s="107"/>
    </row>
    <row r="426" spans="1:9" ht="20.399999999999999">
      <c r="A426" s="323"/>
      <c r="B426" s="107"/>
      <c r="C426" s="107"/>
      <c r="D426" s="107"/>
      <c r="E426" s="204"/>
      <c r="F426" s="107"/>
      <c r="G426" s="107"/>
      <c r="H426" s="107"/>
      <c r="I426" s="107"/>
    </row>
    <row r="427" spans="1:9" ht="20.399999999999999">
      <c r="A427" s="323"/>
      <c r="B427" s="107"/>
      <c r="C427" s="107"/>
      <c r="D427" s="107"/>
      <c r="E427" s="204"/>
      <c r="F427" s="107"/>
      <c r="G427" s="107"/>
      <c r="H427" s="107"/>
      <c r="I427" s="107"/>
    </row>
    <row r="428" spans="1:9" ht="20.399999999999999">
      <c r="A428" s="323"/>
      <c r="B428" s="107"/>
      <c r="C428" s="107"/>
      <c r="D428" s="107"/>
      <c r="E428" s="204"/>
      <c r="F428" s="107"/>
      <c r="G428" s="107"/>
      <c r="H428" s="107"/>
      <c r="I428" s="107"/>
    </row>
    <row r="429" spans="1:9" ht="20.399999999999999">
      <c r="A429" s="323"/>
      <c r="B429" s="107"/>
      <c r="C429" s="107"/>
      <c r="D429" s="107"/>
      <c r="E429" s="204"/>
      <c r="F429" s="107"/>
      <c r="G429" s="107"/>
      <c r="H429" s="107"/>
      <c r="I429" s="107"/>
    </row>
    <row r="430" spans="1:9" ht="20.399999999999999">
      <c r="A430" s="323"/>
      <c r="B430" s="107"/>
      <c r="C430" s="107"/>
      <c r="D430" s="107"/>
      <c r="E430" s="204"/>
      <c r="F430" s="107"/>
      <c r="G430" s="107"/>
      <c r="H430" s="107"/>
      <c r="I430" s="107"/>
    </row>
    <row r="431" spans="1:9" ht="20.399999999999999">
      <c r="A431" s="323"/>
      <c r="B431" s="107"/>
      <c r="C431" s="107"/>
      <c r="D431" s="107"/>
      <c r="E431" s="204"/>
      <c r="F431" s="107"/>
      <c r="G431" s="107"/>
      <c r="H431" s="107"/>
      <c r="I431" s="107"/>
    </row>
    <row r="432" spans="1:9" ht="20.399999999999999">
      <c r="A432" s="323"/>
      <c r="B432" s="107"/>
      <c r="C432" s="107"/>
      <c r="D432" s="107"/>
      <c r="E432" s="204"/>
      <c r="F432" s="107"/>
      <c r="G432" s="107"/>
      <c r="H432" s="107"/>
      <c r="I432" s="107"/>
    </row>
    <row r="433" spans="1:9" ht="20.399999999999999">
      <c r="A433" s="323"/>
      <c r="B433" s="107"/>
      <c r="C433" s="107"/>
      <c r="D433" s="107"/>
      <c r="E433" s="204"/>
      <c r="F433" s="107"/>
      <c r="G433" s="107"/>
      <c r="H433" s="107"/>
      <c r="I433" s="107"/>
    </row>
    <row r="434" spans="1:9" ht="20.399999999999999">
      <c r="A434" s="323"/>
      <c r="B434" s="107"/>
      <c r="C434" s="107"/>
      <c r="D434" s="107"/>
      <c r="E434" s="204"/>
      <c r="F434" s="107"/>
      <c r="G434" s="107"/>
      <c r="H434" s="107"/>
      <c r="I434" s="107"/>
    </row>
    <row r="435" spans="1:9" ht="20.399999999999999">
      <c r="A435" s="323"/>
      <c r="B435" s="107"/>
      <c r="C435" s="107"/>
      <c r="D435" s="107"/>
      <c r="E435" s="204"/>
      <c r="F435" s="107"/>
      <c r="G435" s="107"/>
      <c r="H435" s="107"/>
      <c r="I435" s="107"/>
    </row>
    <row r="436" spans="1:9" ht="20.399999999999999">
      <c r="A436" s="323"/>
      <c r="B436" s="107"/>
      <c r="C436" s="107"/>
      <c r="D436" s="107"/>
      <c r="E436" s="204"/>
      <c r="F436" s="107"/>
      <c r="G436" s="107"/>
      <c r="H436" s="107"/>
      <c r="I436" s="107"/>
    </row>
    <row r="437" spans="1:9" ht="20.399999999999999">
      <c r="A437" s="323"/>
      <c r="B437" s="107"/>
      <c r="C437" s="107"/>
      <c r="D437" s="107"/>
      <c r="E437" s="204"/>
      <c r="F437" s="107"/>
      <c r="G437" s="107"/>
      <c r="H437" s="107"/>
      <c r="I437" s="107"/>
    </row>
    <row r="438" spans="1:9" ht="20.399999999999999">
      <c r="A438" s="323"/>
      <c r="B438" s="107"/>
      <c r="C438" s="107"/>
      <c r="D438" s="107"/>
      <c r="E438" s="204"/>
      <c r="F438" s="107"/>
      <c r="G438" s="107"/>
      <c r="H438" s="107"/>
      <c r="I438" s="107"/>
    </row>
    <row r="439" spans="1:9" ht="20.399999999999999">
      <c r="A439" s="323"/>
      <c r="B439" s="107"/>
      <c r="C439" s="107"/>
      <c r="D439" s="107"/>
      <c r="E439" s="204"/>
      <c r="F439" s="107"/>
      <c r="G439" s="107"/>
      <c r="H439" s="107"/>
      <c r="I439" s="107"/>
    </row>
    <row r="440" spans="1:9" ht="20.399999999999999">
      <c r="A440" s="323"/>
      <c r="B440" s="107"/>
      <c r="C440" s="107"/>
      <c r="D440" s="107"/>
      <c r="E440" s="204"/>
      <c r="F440" s="107"/>
      <c r="G440" s="107"/>
      <c r="H440" s="107"/>
      <c r="I440" s="107"/>
    </row>
    <row r="441" spans="1:9" ht="20.399999999999999">
      <c r="A441" s="323"/>
      <c r="B441" s="107"/>
      <c r="C441" s="107"/>
      <c r="D441" s="107"/>
      <c r="E441" s="204"/>
      <c r="F441" s="107"/>
      <c r="G441" s="107"/>
      <c r="H441" s="107"/>
      <c r="I441" s="107"/>
    </row>
    <row r="442" spans="1:9" ht="20.399999999999999">
      <c r="A442" s="323"/>
      <c r="B442" s="107"/>
      <c r="C442" s="107"/>
      <c r="D442" s="107"/>
      <c r="E442" s="204"/>
      <c r="F442" s="107"/>
      <c r="G442" s="107"/>
      <c r="H442" s="107"/>
      <c r="I442" s="107"/>
    </row>
    <row r="443" spans="1:9" ht="20.399999999999999">
      <c r="A443" s="323"/>
      <c r="B443" s="107"/>
      <c r="C443" s="107"/>
      <c r="D443" s="107"/>
      <c r="E443" s="204"/>
      <c r="F443" s="107"/>
      <c r="G443" s="107"/>
      <c r="H443" s="107"/>
      <c r="I443" s="107"/>
    </row>
    <row r="444" spans="1:9" ht="20.399999999999999">
      <c r="A444" s="323"/>
      <c r="B444" s="107"/>
      <c r="C444" s="107"/>
      <c r="D444" s="107"/>
      <c r="E444" s="204"/>
      <c r="F444" s="107"/>
      <c r="G444" s="107"/>
      <c r="H444" s="107"/>
      <c r="I444" s="107"/>
    </row>
    <row r="445" spans="1:9" ht="20.399999999999999">
      <c r="A445" s="323"/>
      <c r="B445" s="107"/>
      <c r="C445" s="107"/>
      <c r="D445" s="107"/>
      <c r="E445" s="204"/>
      <c r="F445" s="107"/>
      <c r="G445" s="107"/>
      <c r="H445" s="107"/>
      <c r="I445" s="107"/>
    </row>
    <row r="446" spans="1:9" ht="20.399999999999999">
      <c r="A446" s="323"/>
      <c r="B446" s="107"/>
      <c r="C446" s="107"/>
      <c r="D446" s="107"/>
      <c r="E446" s="204"/>
      <c r="F446" s="107"/>
      <c r="G446" s="107"/>
      <c r="H446" s="107"/>
      <c r="I446" s="107"/>
    </row>
    <row r="447" spans="1:9" ht="20.399999999999999">
      <c r="A447" s="323"/>
      <c r="B447" s="107"/>
      <c r="C447" s="107"/>
      <c r="D447" s="107"/>
      <c r="E447" s="204"/>
      <c r="F447" s="107"/>
      <c r="G447" s="107"/>
      <c r="H447" s="107"/>
      <c r="I447" s="107"/>
    </row>
    <row r="448" spans="1:9" ht="20.399999999999999">
      <c r="A448" s="323"/>
      <c r="B448" s="107"/>
      <c r="C448" s="107"/>
      <c r="D448" s="107"/>
      <c r="E448" s="204"/>
      <c r="F448" s="107"/>
      <c r="G448" s="107"/>
      <c r="H448" s="107"/>
      <c r="I448" s="107"/>
    </row>
    <row r="449" spans="1:9" ht="20.399999999999999">
      <c r="A449" s="323"/>
      <c r="B449" s="107"/>
      <c r="C449" s="107"/>
      <c r="D449" s="107"/>
      <c r="E449" s="204"/>
      <c r="F449" s="107"/>
      <c r="G449" s="107"/>
      <c r="H449" s="107"/>
      <c r="I449" s="107"/>
    </row>
    <row r="450" spans="1:9" ht="20.399999999999999">
      <c r="A450" s="323"/>
      <c r="B450" s="107"/>
      <c r="C450" s="107"/>
      <c r="D450" s="107"/>
      <c r="E450" s="204"/>
      <c r="F450" s="107"/>
      <c r="G450" s="107"/>
      <c r="H450" s="107"/>
      <c r="I450" s="107"/>
    </row>
    <row r="451" spans="1:9" ht="20.399999999999999">
      <c r="A451" s="323"/>
      <c r="B451" s="107"/>
      <c r="C451" s="107"/>
      <c r="D451" s="107"/>
      <c r="E451" s="204"/>
      <c r="F451" s="107"/>
      <c r="G451" s="107"/>
      <c r="H451" s="107"/>
      <c r="I451" s="107"/>
    </row>
    <row r="452" spans="1:9" ht="20.399999999999999">
      <c r="A452" s="323"/>
      <c r="B452" s="107"/>
      <c r="C452" s="107"/>
      <c r="D452" s="107"/>
      <c r="E452" s="204"/>
      <c r="F452" s="107"/>
      <c r="G452" s="107"/>
      <c r="H452" s="107"/>
      <c r="I452" s="107"/>
    </row>
    <row r="453" spans="1:9" ht="20.399999999999999">
      <c r="A453" s="323"/>
      <c r="B453" s="107"/>
      <c r="C453" s="107"/>
      <c r="D453" s="107"/>
      <c r="E453" s="204"/>
      <c r="F453" s="107"/>
      <c r="G453" s="107"/>
      <c r="H453" s="107"/>
      <c r="I453" s="107"/>
    </row>
    <row r="454" spans="1:9" ht="20.399999999999999">
      <c r="A454" s="323"/>
      <c r="B454" s="107"/>
      <c r="C454" s="107"/>
      <c r="D454" s="107"/>
      <c r="E454" s="204"/>
      <c r="F454" s="107"/>
      <c r="G454" s="107"/>
      <c r="H454" s="107"/>
      <c r="I454" s="107"/>
    </row>
    <row r="455" spans="1:9" ht="20.399999999999999">
      <c r="A455" s="323"/>
      <c r="B455" s="107"/>
      <c r="C455" s="107"/>
      <c r="D455" s="107"/>
      <c r="E455" s="204"/>
      <c r="F455" s="107"/>
      <c r="G455" s="107"/>
      <c r="H455" s="107"/>
      <c r="I455" s="107"/>
    </row>
    <row r="456" spans="1:9" ht="20.399999999999999">
      <c r="A456" s="323"/>
      <c r="B456" s="107"/>
      <c r="C456" s="107"/>
      <c r="D456" s="107"/>
      <c r="E456" s="204"/>
      <c r="F456" s="107"/>
      <c r="G456" s="107"/>
      <c r="H456" s="107"/>
      <c r="I456" s="107"/>
    </row>
    <row r="457" spans="1:9" ht="20.399999999999999">
      <c r="A457" s="323"/>
      <c r="B457" s="107"/>
      <c r="C457" s="107"/>
      <c r="D457" s="107"/>
      <c r="E457" s="204"/>
      <c r="F457" s="107"/>
      <c r="G457" s="107"/>
      <c r="H457" s="107"/>
      <c r="I457" s="107"/>
    </row>
    <row r="458" spans="1:9" ht="20.399999999999999">
      <c r="A458" s="323"/>
      <c r="B458" s="107"/>
      <c r="C458" s="107"/>
      <c r="D458" s="107"/>
      <c r="E458" s="204"/>
      <c r="F458" s="107"/>
      <c r="G458" s="107"/>
      <c r="H458" s="107"/>
      <c r="I458" s="107"/>
    </row>
    <row r="459" spans="1:9" ht="20.399999999999999">
      <c r="A459" s="323"/>
      <c r="B459" s="107"/>
      <c r="C459" s="107"/>
      <c r="D459" s="107"/>
      <c r="E459" s="204"/>
      <c r="F459" s="107"/>
      <c r="G459" s="107"/>
      <c r="H459" s="107"/>
      <c r="I459" s="107"/>
    </row>
    <row r="460" spans="1:9" ht="20.399999999999999">
      <c r="A460" s="323"/>
      <c r="B460" s="107"/>
      <c r="C460" s="107"/>
      <c r="D460" s="107"/>
      <c r="E460" s="204"/>
      <c r="F460" s="107"/>
      <c r="G460" s="107"/>
      <c r="H460" s="107"/>
      <c r="I460" s="107"/>
    </row>
    <row r="461" spans="1:9" ht="20.399999999999999">
      <c r="A461" s="323"/>
      <c r="B461" s="107"/>
      <c r="C461" s="107"/>
      <c r="D461" s="107"/>
      <c r="E461" s="204"/>
      <c r="F461" s="107"/>
      <c r="G461" s="107"/>
      <c r="H461" s="107"/>
      <c r="I461" s="107"/>
    </row>
    <row r="462" spans="1:9" ht="20.399999999999999">
      <c r="A462" s="323"/>
      <c r="B462" s="107"/>
      <c r="C462" s="107"/>
      <c r="D462" s="107"/>
      <c r="E462" s="204"/>
      <c r="F462" s="107"/>
      <c r="G462" s="107"/>
      <c r="H462" s="107"/>
      <c r="I462" s="107"/>
    </row>
    <row r="463" spans="1:9" ht="20.399999999999999">
      <c r="A463" s="323"/>
      <c r="B463" s="107"/>
      <c r="C463" s="107"/>
      <c r="D463" s="107"/>
      <c r="E463" s="204"/>
      <c r="F463" s="107"/>
      <c r="G463" s="107"/>
      <c r="H463" s="107"/>
      <c r="I463" s="107"/>
    </row>
    <row r="464" spans="1:9" ht="20.399999999999999">
      <c r="A464" s="323"/>
      <c r="B464" s="107"/>
      <c r="C464" s="107"/>
      <c r="D464" s="107"/>
      <c r="E464" s="204"/>
      <c r="F464" s="107"/>
      <c r="G464" s="107"/>
      <c r="H464" s="107"/>
      <c r="I464" s="107"/>
    </row>
    <row r="465" spans="1:9" ht="20.399999999999999">
      <c r="A465" s="323"/>
      <c r="B465" s="107"/>
      <c r="C465" s="107"/>
      <c r="D465" s="107"/>
      <c r="E465" s="204"/>
      <c r="F465" s="107"/>
      <c r="G465" s="107"/>
      <c r="H465" s="107"/>
      <c r="I465" s="107"/>
    </row>
    <row r="466" spans="1:9" ht="20.399999999999999">
      <c r="A466" s="323"/>
      <c r="B466" s="107"/>
      <c r="C466" s="107"/>
      <c r="D466" s="107"/>
      <c r="E466" s="204"/>
      <c r="F466" s="107"/>
      <c r="G466" s="107"/>
      <c r="H466" s="107"/>
      <c r="I466" s="107"/>
    </row>
    <row r="467" spans="1:9" ht="20.399999999999999">
      <c r="A467" s="323"/>
      <c r="B467" s="107"/>
      <c r="C467" s="107"/>
      <c r="D467" s="107"/>
      <c r="E467" s="204"/>
      <c r="F467" s="107"/>
      <c r="G467" s="107"/>
      <c r="H467" s="107"/>
      <c r="I467" s="107"/>
    </row>
    <row r="468" spans="1:9" ht="20.399999999999999">
      <c r="A468" s="323"/>
      <c r="B468" s="107"/>
      <c r="C468" s="107"/>
      <c r="D468" s="107"/>
      <c r="E468" s="204"/>
      <c r="F468" s="107"/>
      <c r="G468" s="107"/>
      <c r="H468" s="107"/>
      <c r="I468" s="107"/>
    </row>
    <row r="469" spans="1:9" ht="20.399999999999999">
      <c r="A469" s="323"/>
      <c r="B469" s="107"/>
      <c r="C469" s="107"/>
      <c r="D469" s="107"/>
      <c r="E469" s="204"/>
      <c r="F469" s="107"/>
      <c r="G469" s="107"/>
      <c r="H469" s="107"/>
      <c r="I469" s="107"/>
    </row>
    <row r="470" spans="1:9" ht="20.399999999999999">
      <c r="A470" s="323"/>
      <c r="B470" s="107"/>
      <c r="C470" s="107"/>
      <c r="D470" s="107"/>
      <c r="E470" s="204"/>
      <c r="F470" s="107"/>
      <c r="G470" s="107"/>
      <c r="H470" s="107"/>
      <c r="I470" s="107"/>
    </row>
    <row r="471" spans="1:9" ht="20.399999999999999">
      <c r="A471" s="323"/>
      <c r="B471" s="107"/>
      <c r="C471" s="107"/>
      <c r="D471" s="107"/>
      <c r="E471" s="204"/>
      <c r="F471" s="107"/>
      <c r="G471" s="107"/>
      <c r="H471" s="107"/>
      <c r="I471" s="107"/>
    </row>
    <row r="472" spans="1:9" ht="20.399999999999999">
      <c r="A472" s="323"/>
      <c r="B472" s="107"/>
      <c r="C472" s="107"/>
      <c r="D472" s="107"/>
      <c r="E472" s="204"/>
      <c r="F472" s="107"/>
      <c r="G472" s="107"/>
      <c r="H472" s="107"/>
      <c r="I472" s="107"/>
    </row>
    <row r="473" spans="1:9" ht="20.399999999999999">
      <c r="A473" s="323"/>
      <c r="B473" s="107"/>
      <c r="C473" s="107"/>
      <c r="D473" s="107"/>
      <c r="E473" s="204"/>
      <c r="F473" s="107"/>
      <c r="G473" s="107"/>
      <c r="H473" s="107"/>
      <c r="I473" s="107"/>
    </row>
    <row r="474" spans="1:9" ht="20.399999999999999">
      <c r="A474" s="323"/>
      <c r="B474" s="107"/>
      <c r="C474" s="107"/>
      <c r="D474" s="107"/>
      <c r="E474" s="204"/>
      <c r="F474" s="107"/>
      <c r="G474" s="107"/>
      <c r="H474" s="107"/>
      <c r="I474" s="107"/>
    </row>
    <row r="475" spans="1:9" ht="20.399999999999999">
      <c r="A475" s="323"/>
      <c r="B475" s="107"/>
      <c r="C475" s="107"/>
      <c r="D475" s="107"/>
      <c r="E475" s="204"/>
      <c r="F475" s="107"/>
      <c r="G475" s="107"/>
      <c r="H475" s="107"/>
      <c r="I475" s="107"/>
    </row>
    <row r="476" spans="1:9" ht="20.399999999999999">
      <c r="A476" s="323"/>
      <c r="B476" s="107"/>
      <c r="C476" s="107"/>
      <c r="D476" s="107"/>
      <c r="E476" s="204"/>
      <c r="F476" s="107"/>
      <c r="G476" s="107"/>
      <c r="H476" s="107"/>
      <c r="I476" s="107"/>
    </row>
    <row r="477" spans="1:9" ht="20.399999999999999">
      <c r="A477" s="323"/>
      <c r="B477" s="107"/>
      <c r="C477" s="107"/>
      <c r="D477" s="107"/>
      <c r="E477" s="204"/>
      <c r="F477" s="107"/>
      <c r="G477" s="107"/>
      <c r="H477" s="107"/>
      <c r="I477" s="107"/>
    </row>
    <row r="478" spans="1:9" ht="20.399999999999999">
      <c r="A478" s="323"/>
      <c r="B478" s="107"/>
      <c r="C478" s="107"/>
      <c r="D478" s="107"/>
      <c r="E478" s="204"/>
      <c r="F478" s="107"/>
      <c r="G478" s="107"/>
      <c r="H478" s="107"/>
      <c r="I478" s="107"/>
    </row>
    <row r="479" spans="1:9" ht="20.399999999999999">
      <c r="A479" s="323"/>
      <c r="B479" s="107"/>
      <c r="C479" s="107"/>
      <c r="D479" s="107"/>
      <c r="E479" s="204"/>
      <c r="F479" s="107"/>
      <c r="G479" s="107"/>
      <c r="H479" s="107"/>
      <c r="I479" s="107"/>
    </row>
    <row r="480" spans="1:9" ht="20.399999999999999">
      <c r="A480" s="323"/>
      <c r="B480" s="107"/>
      <c r="C480" s="107"/>
      <c r="D480" s="107"/>
      <c r="E480" s="204"/>
      <c r="F480" s="107"/>
      <c r="G480" s="107"/>
      <c r="H480" s="107"/>
      <c r="I480" s="107"/>
    </row>
    <row r="481" spans="1:9" ht="20.399999999999999">
      <c r="A481" s="323"/>
      <c r="B481" s="107"/>
      <c r="C481" s="107"/>
      <c r="D481" s="107"/>
      <c r="E481" s="204"/>
      <c r="F481" s="107"/>
      <c r="G481" s="107"/>
      <c r="H481" s="107"/>
      <c r="I481" s="107"/>
    </row>
    <row r="482" spans="1:9" ht="20.399999999999999">
      <c r="A482" s="323"/>
      <c r="B482" s="107"/>
      <c r="C482" s="107"/>
      <c r="D482" s="107"/>
      <c r="E482" s="204"/>
      <c r="F482" s="107"/>
      <c r="G482" s="107"/>
      <c r="H482" s="107"/>
      <c r="I482" s="107"/>
    </row>
    <row r="483" spans="1:9" ht="20.399999999999999">
      <c r="A483" s="323"/>
      <c r="B483" s="107"/>
      <c r="C483" s="107"/>
      <c r="D483" s="107"/>
      <c r="E483" s="204"/>
      <c r="F483" s="107"/>
      <c r="G483" s="107"/>
      <c r="H483" s="107"/>
      <c r="I483" s="107"/>
    </row>
    <row r="484" spans="1:9" ht="20.399999999999999">
      <c r="A484" s="323"/>
      <c r="B484" s="107"/>
      <c r="C484" s="107"/>
      <c r="D484" s="107"/>
      <c r="E484" s="204"/>
      <c r="F484" s="107"/>
      <c r="G484" s="107"/>
      <c r="H484" s="107"/>
      <c r="I484" s="107"/>
    </row>
    <row r="485" spans="1:9" ht="20.399999999999999">
      <c r="A485" s="323"/>
      <c r="B485" s="107"/>
      <c r="C485" s="107"/>
      <c r="D485" s="107"/>
      <c r="E485" s="204"/>
      <c r="F485" s="107"/>
      <c r="G485" s="107"/>
      <c r="H485" s="107"/>
      <c r="I485" s="107"/>
    </row>
    <row r="486" spans="1:9" ht="20.399999999999999">
      <c r="A486" s="323"/>
      <c r="B486" s="107"/>
      <c r="C486" s="107"/>
      <c r="D486" s="107"/>
      <c r="E486" s="204"/>
      <c r="F486" s="107"/>
      <c r="G486" s="107"/>
      <c r="H486" s="107"/>
      <c r="I486" s="107"/>
    </row>
    <row r="487" spans="1:9" ht="20.399999999999999">
      <c r="A487" s="323"/>
      <c r="B487" s="107"/>
      <c r="C487" s="107"/>
      <c r="D487" s="107"/>
      <c r="E487" s="204"/>
      <c r="F487" s="107"/>
      <c r="G487" s="107"/>
      <c r="H487" s="107"/>
      <c r="I487" s="107"/>
    </row>
    <row r="488" spans="1:9" ht="20.399999999999999">
      <c r="A488" s="323"/>
      <c r="B488" s="107"/>
      <c r="C488" s="107"/>
      <c r="D488" s="107"/>
      <c r="E488" s="204"/>
      <c r="F488" s="107"/>
      <c r="G488" s="107"/>
      <c r="H488" s="107"/>
      <c r="I488" s="107"/>
    </row>
    <row r="489" spans="1:9" ht="20.399999999999999">
      <c r="A489" s="323"/>
      <c r="B489" s="107"/>
      <c r="C489" s="107"/>
      <c r="D489" s="107"/>
      <c r="E489" s="204"/>
      <c r="F489" s="107"/>
      <c r="G489" s="107"/>
      <c r="H489" s="107"/>
      <c r="I489" s="107"/>
    </row>
    <row r="490" spans="1:9" ht="20.399999999999999">
      <c r="A490" s="323"/>
      <c r="B490" s="107"/>
      <c r="C490" s="107"/>
      <c r="D490" s="107"/>
      <c r="E490" s="204"/>
      <c r="F490" s="107"/>
      <c r="G490" s="107"/>
      <c r="H490" s="107"/>
      <c r="I490" s="107"/>
    </row>
    <row r="491" spans="1:9" ht="20.399999999999999">
      <c r="A491" s="323"/>
      <c r="B491" s="107"/>
      <c r="C491" s="107"/>
      <c r="D491" s="107"/>
      <c r="E491" s="204"/>
      <c r="F491" s="107"/>
      <c r="G491" s="107"/>
      <c r="H491" s="107"/>
      <c r="I491" s="107"/>
    </row>
    <row r="492" spans="1:9" ht="20.399999999999999">
      <c r="A492" s="323"/>
      <c r="B492" s="107"/>
      <c r="C492" s="107"/>
      <c r="D492" s="107"/>
      <c r="E492" s="204"/>
      <c r="F492" s="107"/>
      <c r="G492" s="107"/>
      <c r="H492" s="107"/>
      <c r="I492" s="107"/>
    </row>
    <row r="493" spans="1:9" ht="20.399999999999999">
      <c r="A493" s="323"/>
      <c r="B493" s="107"/>
      <c r="C493" s="107"/>
      <c r="D493" s="107"/>
      <c r="E493" s="204"/>
      <c r="F493" s="107"/>
      <c r="G493" s="107"/>
      <c r="H493" s="107"/>
      <c r="I493" s="107"/>
    </row>
    <row r="494" spans="1:9" ht="20.399999999999999">
      <c r="A494" s="323"/>
      <c r="B494" s="107"/>
      <c r="C494" s="107"/>
      <c r="D494" s="107"/>
      <c r="E494" s="204"/>
      <c r="F494" s="107"/>
      <c r="G494" s="107"/>
      <c r="H494" s="107"/>
      <c r="I494" s="107"/>
    </row>
    <row r="495" spans="1:9" ht="20.399999999999999">
      <c r="A495" s="323"/>
      <c r="B495" s="107"/>
      <c r="C495" s="107"/>
      <c r="D495" s="107"/>
      <c r="E495" s="204"/>
      <c r="F495" s="107"/>
      <c r="G495" s="107"/>
      <c r="H495" s="107"/>
      <c r="I495" s="107"/>
    </row>
    <row r="496" spans="1:9" ht="20.399999999999999">
      <c r="A496" s="323"/>
      <c r="B496" s="107"/>
      <c r="C496" s="107"/>
      <c r="D496" s="107"/>
      <c r="E496" s="204"/>
      <c r="F496" s="107"/>
      <c r="G496" s="107"/>
      <c r="H496" s="107"/>
      <c r="I496" s="107"/>
    </row>
    <row r="497" spans="1:9" ht="20.399999999999999">
      <c r="A497" s="323"/>
      <c r="B497" s="107"/>
      <c r="C497" s="107"/>
      <c r="D497" s="107"/>
      <c r="E497" s="204"/>
      <c r="F497" s="107"/>
      <c r="G497" s="107"/>
      <c r="H497" s="107"/>
      <c r="I497" s="107"/>
    </row>
    <row r="498" spans="1:9" ht="20.399999999999999">
      <c r="A498" s="323"/>
      <c r="B498" s="107"/>
      <c r="C498" s="107"/>
      <c r="D498" s="107"/>
      <c r="E498" s="204"/>
      <c r="F498" s="107"/>
      <c r="G498" s="107"/>
      <c r="H498" s="107"/>
      <c r="I498" s="107"/>
    </row>
    <row r="499" spans="1:9" ht="20.399999999999999">
      <c r="A499" s="323"/>
      <c r="B499" s="107"/>
      <c r="C499" s="107"/>
      <c r="D499" s="107"/>
      <c r="E499" s="204"/>
      <c r="F499" s="107"/>
      <c r="G499" s="107"/>
      <c r="H499" s="107"/>
      <c r="I499" s="107"/>
    </row>
    <row r="500" spans="1:9" ht="20.399999999999999">
      <c r="A500" s="323"/>
      <c r="B500" s="107"/>
      <c r="C500" s="107"/>
      <c r="D500" s="107"/>
      <c r="E500" s="204"/>
      <c r="F500" s="107"/>
      <c r="G500" s="107"/>
      <c r="H500" s="107"/>
      <c r="I500" s="107"/>
    </row>
    <row r="501" spans="1:9" ht="20.399999999999999">
      <c r="A501" s="323"/>
      <c r="B501" s="107"/>
      <c r="C501" s="107"/>
      <c r="D501" s="107"/>
      <c r="E501" s="204"/>
      <c r="F501" s="107"/>
      <c r="G501" s="107"/>
      <c r="H501" s="107"/>
      <c r="I501" s="107"/>
    </row>
    <row r="502" spans="1:9" ht="20.399999999999999">
      <c r="A502" s="323"/>
      <c r="B502" s="107"/>
      <c r="C502" s="107"/>
      <c r="D502" s="107"/>
      <c r="E502" s="204"/>
      <c r="F502" s="107"/>
      <c r="G502" s="107"/>
      <c r="H502" s="107"/>
      <c r="I502" s="107"/>
    </row>
    <row r="503" spans="1:9" ht="20.399999999999999">
      <c r="A503" s="323"/>
      <c r="B503" s="107"/>
      <c r="C503" s="107"/>
      <c r="D503" s="107"/>
      <c r="E503" s="204"/>
      <c r="F503" s="107"/>
      <c r="G503" s="107"/>
      <c r="H503" s="107"/>
      <c r="I503" s="107"/>
    </row>
    <row r="504" spans="1:9" ht="20.399999999999999">
      <c r="A504" s="323"/>
      <c r="B504" s="107"/>
      <c r="C504" s="107"/>
      <c r="D504" s="107"/>
      <c r="E504" s="204"/>
      <c r="F504" s="107"/>
      <c r="G504" s="107"/>
      <c r="H504" s="107"/>
      <c r="I504" s="107"/>
    </row>
    <row r="505" spans="1:9" ht="20.399999999999999">
      <c r="A505" s="323"/>
      <c r="B505" s="107"/>
      <c r="C505" s="107"/>
      <c r="D505" s="107"/>
      <c r="E505" s="204"/>
      <c r="F505" s="107"/>
      <c r="G505" s="107"/>
      <c r="H505" s="107"/>
      <c r="I505" s="107"/>
    </row>
    <row r="506" spans="1:9" ht="20.399999999999999">
      <c r="A506" s="323"/>
      <c r="B506" s="107"/>
      <c r="C506" s="107"/>
      <c r="D506" s="107"/>
      <c r="E506" s="204"/>
      <c r="F506" s="107"/>
      <c r="G506" s="107"/>
      <c r="H506" s="107"/>
      <c r="I506" s="107"/>
    </row>
    <row r="507" spans="1:9" ht="20.399999999999999">
      <c r="A507" s="323"/>
      <c r="B507" s="107"/>
      <c r="C507" s="107"/>
      <c r="D507" s="107"/>
      <c r="E507" s="204"/>
      <c r="F507" s="107"/>
      <c r="G507" s="107"/>
      <c r="H507" s="107"/>
      <c r="I507" s="107"/>
    </row>
    <row r="508" spans="1:9" ht="20.399999999999999">
      <c r="A508" s="323"/>
      <c r="B508" s="107"/>
      <c r="C508" s="107"/>
      <c r="D508" s="107"/>
      <c r="E508" s="204"/>
      <c r="F508" s="107"/>
      <c r="G508" s="107"/>
      <c r="H508" s="107"/>
      <c r="I508" s="107"/>
    </row>
    <row r="509" spans="1:9" ht="20.399999999999999">
      <c r="A509" s="323"/>
      <c r="B509" s="107"/>
      <c r="C509" s="107"/>
      <c r="D509" s="107"/>
      <c r="E509" s="204"/>
      <c r="F509" s="107"/>
      <c r="G509" s="107"/>
      <c r="H509" s="107"/>
      <c r="I509" s="107"/>
    </row>
    <row r="510" spans="1:9" ht="20.399999999999999">
      <c r="A510" s="323"/>
      <c r="B510" s="107"/>
      <c r="C510" s="107"/>
      <c r="D510" s="107"/>
      <c r="E510" s="204"/>
      <c r="F510" s="107"/>
      <c r="G510" s="107"/>
      <c r="H510" s="107"/>
      <c r="I510" s="107"/>
    </row>
    <row r="511" spans="1:9" ht="20.399999999999999">
      <c r="A511" s="323"/>
      <c r="B511" s="107"/>
      <c r="C511" s="107"/>
      <c r="D511" s="107"/>
      <c r="E511" s="204"/>
      <c r="F511" s="107"/>
      <c r="G511" s="107"/>
      <c r="H511" s="107"/>
      <c r="I511" s="107"/>
    </row>
    <row r="512" spans="1:9" ht="20.399999999999999">
      <c r="A512" s="323"/>
      <c r="B512" s="107"/>
      <c r="C512" s="107"/>
      <c r="D512" s="107"/>
      <c r="E512" s="204"/>
      <c r="F512" s="107"/>
      <c r="G512" s="107"/>
      <c r="H512" s="107"/>
      <c r="I512" s="107"/>
    </row>
    <row r="513" spans="1:9" ht="20.399999999999999">
      <c r="A513" s="323"/>
      <c r="B513" s="107"/>
      <c r="C513" s="107"/>
      <c r="D513" s="107"/>
      <c r="E513" s="204"/>
      <c r="F513" s="107"/>
      <c r="G513" s="107"/>
      <c r="H513" s="107"/>
      <c r="I513" s="107"/>
    </row>
    <row r="514" spans="1:9" ht="20.399999999999999">
      <c r="A514" s="323"/>
      <c r="B514" s="107"/>
      <c r="C514" s="107"/>
      <c r="D514" s="107"/>
      <c r="E514" s="204"/>
      <c r="F514" s="107"/>
      <c r="G514" s="107"/>
      <c r="H514" s="107"/>
      <c r="I514" s="107"/>
    </row>
    <row r="515" spans="1:9" ht="20.399999999999999">
      <c r="A515" s="323"/>
      <c r="B515" s="107"/>
      <c r="C515" s="107"/>
      <c r="D515" s="107"/>
      <c r="E515" s="204"/>
      <c r="F515" s="107"/>
      <c r="G515" s="107"/>
      <c r="H515" s="107"/>
      <c r="I515" s="107"/>
    </row>
    <row r="516" spans="1:9" ht="20.399999999999999">
      <c r="A516" s="323"/>
      <c r="B516" s="107"/>
      <c r="C516" s="107"/>
      <c r="D516" s="107"/>
      <c r="E516" s="204"/>
      <c r="F516" s="107"/>
      <c r="G516" s="107"/>
      <c r="H516" s="107"/>
      <c r="I516" s="107"/>
    </row>
    <row r="517" spans="1:9" ht="20.399999999999999">
      <c r="A517" s="323"/>
      <c r="B517" s="107"/>
      <c r="C517" s="107"/>
      <c r="D517" s="107"/>
      <c r="E517" s="204"/>
      <c r="F517" s="107"/>
      <c r="G517" s="107"/>
      <c r="H517" s="107"/>
      <c r="I517" s="107"/>
    </row>
    <row r="518" spans="1:9" ht="20.399999999999999">
      <c r="A518" s="323"/>
      <c r="B518" s="107"/>
      <c r="C518" s="107"/>
      <c r="D518" s="107"/>
      <c r="E518" s="204"/>
      <c r="F518" s="107"/>
      <c r="G518" s="107"/>
      <c r="H518" s="107"/>
      <c r="I518" s="107"/>
    </row>
    <row r="519" spans="1:9" ht="20.399999999999999">
      <c r="A519" s="323"/>
      <c r="B519" s="107"/>
      <c r="C519" s="107"/>
      <c r="D519" s="107"/>
      <c r="E519" s="204"/>
      <c r="F519" s="107"/>
      <c r="G519" s="107"/>
      <c r="H519" s="107"/>
      <c r="I519" s="107"/>
    </row>
    <row r="520" spans="1:9" ht="20.399999999999999">
      <c r="A520" s="323"/>
      <c r="B520" s="107"/>
      <c r="C520" s="107"/>
      <c r="D520" s="107"/>
      <c r="E520" s="204"/>
      <c r="F520" s="107"/>
      <c r="G520" s="107"/>
      <c r="H520" s="107"/>
      <c r="I520" s="107"/>
    </row>
    <row r="521" spans="1:9" ht="20.399999999999999">
      <c r="A521" s="323"/>
      <c r="B521" s="107"/>
      <c r="C521" s="107"/>
      <c r="D521" s="107"/>
      <c r="E521" s="204"/>
      <c r="F521" s="107"/>
      <c r="G521" s="107"/>
      <c r="H521" s="107"/>
      <c r="I521" s="107"/>
    </row>
    <row r="522" spans="1:9" ht="20.399999999999999">
      <c r="A522" s="323"/>
      <c r="B522" s="107"/>
      <c r="C522" s="107"/>
      <c r="D522" s="107"/>
      <c r="E522" s="204"/>
      <c r="F522" s="107"/>
      <c r="G522" s="107"/>
      <c r="H522" s="107"/>
      <c r="I522" s="107"/>
    </row>
    <row r="523" spans="1:9" ht="20.399999999999999">
      <c r="A523" s="323"/>
      <c r="B523" s="107"/>
      <c r="C523" s="107"/>
      <c r="D523" s="107"/>
      <c r="E523" s="204"/>
      <c r="F523" s="107"/>
      <c r="G523" s="107"/>
      <c r="H523" s="107"/>
      <c r="I523" s="107"/>
    </row>
    <row r="524" spans="1:9" ht="20.399999999999999">
      <c r="A524" s="323"/>
      <c r="B524" s="107"/>
      <c r="C524" s="107"/>
      <c r="D524" s="107"/>
      <c r="E524" s="204"/>
      <c r="F524" s="107"/>
      <c r="G524" s="107"/>
      <c r="H524" s="107"/>
      <c r="I524" s="107"/>
    </row>
    <row r="525" spans="1:9" ht="20.399999999999999">
      <c r="A525" s="323"/>
      <c r="B525" s="107"/>
      <c r="C525" s="107"/>
      <c r="D525" s="107"/>
      <c r="E525" s="204"/>
      <c r="F525" s="107"/>
      <c r="G525" s="107"/>
      <c r="H525" s="107"/>
      <c r="I525" s="107"/>
    </row>
    <row r="526" spans="1:9" ht="20.399999999999999">
      <c r="A526" s="323"/>
      <c r="B526" s="107"/>
      <c r="C526" s="107"/>
      <c r="D526" s="107"/>
      <c r="E526" s="204"/>
      <c r="F526" s="107"/>
      <c r="G526" s="107"/>
      <c r="H526" s="107"/>
      <c r="I526" s="107"/>
    </row>
    <row r="527" spans="1:9" ht="20.399999999999999">
      <c r="A527" s="323"/>
      <c r="B527" s="107"/>
      <c r="C527" s="107"/>
      <c r="D527" s="107"/>
      <c r="E527" s="204"/>
      <c r="F527" s="107"/>
      <c r="G527" s="107"/>
      <c r="H527" s="107"/>
      <c r="I527" s="107"/>
    </row>
    <row r="528" spans="1:9" ht="20.399999999999999">
      <c r="A528" s="323"/>
      <c r="B528" s="107"/>
      <c r="C528" s="107"/>
      <c r="D528" s="107"/>
      <c r="E528" s="204"/>
      <c r="F528" s="107"/>
      <c r="G528" s="107"/>
      <c r="H528" s="107"/>
      <c r="I528" s="107"/>
    </row>
    <row r="529" spans="1:9" ht="20.399999999999999">
      <c r="A529" s="323"/>
      <c r="B529" s="107"/>
      <c r="C529" s="107"/>
      <c r="D529" s="107"/>
      <c r="E529" s="204"/>
      <c r="F529" s="107"/>
      <c r="G529" s="107"/>
      <c r="H529" s="107"/>
      <c r="I529" s="107"/>
    </row>
    <row r="530" spans="1:9" ht="20.399999999999999">
      <c r="A530" s="323"/>
      <c r="B530" s="107"/>
      <c r="C530" s="107"/>
      <c r="D530" s="107"/>
      <c r="E530" s="204"/>
      <c r="F530" s="107"/>
      <c r="G530" s="107"/>
      <c r="H530" s="107"/>
      <c r="I530" s="107"/>
    </row>
    <row r="531" spans="1:9" ht="20.399999999999999">
      <c r="A531" s="323"/>
      <c r="B531" s="107"/>
      <c r="C531" s="107"/>
      <c r="D531" s="107"/>
      <c r="E531" s="204"/>
      <c r="F531" s="107"/>
      <c r="G531" s="107"/>
      <c r="H531" s="107"/>
      <c r="I531" s="107"/>
    </row>
    <row r="532" spans="1:9" ht="20.399999999999999">
      <c r="A532" s="323"/>
      <c r="B532" s="107"/>
      <c r="C532" s="107"/>
      <c r="D532" s="107"/>
      <c r="E532" s="204"/>
      <c r="F532" s="107"/>
      <c r="G532" s="107"/>
      <c r="H532" s="107"/>
      <c r="I532" s="107"/>
    </row>
    <row r="533" spans="1:9" ht="20.399999999999999">
      <c r="A533" s="323"/>
      <c r="B533" s="107"/>
      <c r="C533" s="107"/>
      <c r="D533" s="107"/>
      <c r="E533" s="204"/>
      <c r="F533" s="107"/>
      <c r="G533" s="107"/>
      <c r="H533" s="107"/>
      <c r="I533" s="107"/>
    </row>
    <row r="534" spans="1:9" ht="20.399999999999999">
      <c r="A534" s="323"/>
      <c r="B534" s="107"/>
      <c r="C534" s="107"/>
      <c r="D534" s="107"/>
      <c r="E534" s="204"/>
      <c r="F534" s="107"/>
      <c r="G534" s="107"/>
      <c r="H534" s="107"/>
      <c r="I534" s="107"/>
    </row>
    <row r="535" spans="1:9" ht="20.399999999999999">
      <c r="A535" s="323"/>
      <c r="B535" s="107"/>
      <c r="C535" s="107"/>
      <c r="D535" s="107"/>
      <c r="E535" s="204"/>
      <c r="F535" s="107"/>
      <c r="G535" s="107"/>
      <c r="H535" s="107"/>
      <c r="I535" s="107"/>
    </row>
    <row r="536" spans="1:9" ht="20.399999999999999">
      <c r="A536" s="323"/>
      <c r="B536" s="107"/>
      <c r="C536" s="107"/>
      <c r="D536" s="107"/>
      <c r="E536" s="204"/>
      <c r="F536" s="107"/>
      <c r="G536" s="107"/>
      <c r="H536" s="107"/>
      <c r="I536" s="107"/>
    </row>
    <row r="537" spans="1:9" ht="20.399999999999999">
      <c r="A537" s="323"/>
      <c r="B537" s="107"/>
      <c r="C537" s="107"/>
      <c r="D537" s="107"/>
      <c r="E537" s="204"/>
      <c r="F537" s="107"/>
      <c r="G537" s="107"/>
      <c r="H537" s="107"/>
      <c r="I537" s="107"/>
    </row>
    <row r="538" spans="1:9" ht="20.399999999999999">
      <c r="A538" s="323"/>
      <c r="B538" s="107"/>
      <c r="C538" s="107"/>
      <c r="D538" s="107"/>
      <c r="E538" s="204"/>
      <c r="F538" s="107"/>
      <c r="G538" s="107"/>
      <c r="H538" s="107"/>
      <c r="I538" s="107"/>
    </row>
    <row r="539" spans="1:9" ht="20.399999999999999">
      <c r="A539" s="323"/>
      <c r="B539" s="107"/>
      <c r="C539" s="107"/>
      <c r="D539" s="107"/>
      <c r="E539" s="204"/>
      <c r="F539" s="107"/>
      <c r="G539" s="107"/>
      <c r="H539" s="107"/>
      <c r="I539" s="107"/>
    </row>
    <row r="540" spans="1:9" ht="20.399999999999999">
      <c r="A540" s="323"/>
      <c r="B540" s="107"/>
      <c r="C540" s="107"/>
      <c r="D540" s="107"/>
      <c r="E540" s="204"/>
      <c r="F540" s="107"/>
      <c r="G540" s="107"/>
      <c r="H540" s="107"/>
      <c r="I540" s="107"/>
    </row>
    <row r="541" spans="1:9" ht="20.399999999999999">
      <c r="A541" s="323"/>
      <c r="B541" s="107"/>
      <c r="C541" s="107"/>
      <c r="D541" s="107"/>
      <c r="E541" s="204"/>
      <c r="F541" s="107"/>
      <c r="G541" s="107"/>
      <c r="H541" s="107"/>
      <c r="I541" s="107"/>
    </row>
    <row r="542" spans="1:9" ht="20.399999999999999">
      <c r="A542" s="323"/>
      <c r="B542" s="107"/>
      <c r="C542" s="107"/>
      <c r="D542" s="107"/>
      <c r="E542" s="204"/>
      <c r="F542" s="107"/>
      <c r="G542" s="107"/>
      <c r="H542" s="107"/>
      <c r="I542" s="107"/>
    </row>
    <row r="543" spans="1:9" ht="20.399999999999999">
      <c r="A543" s="323"/>
      <c r="B543" s="107"/>
      <c r="C543" s="107"/>
      <c r="D543" s="107"/>
      <c r="E543" s="204"/>
      <c r="F543" s="107"/>
      <c r="G543" s="107"/>
      <c r="H543" s="107"/>
      <c r="I543" s="107"/>
    </row>
    <row r="544" spans="1:9" ht="20.399999999999999">
      <c r="A544" s="323"/>
      <c r="B544" s="107"/>
      <c r="C544" s="107"/>
      <c r="D544" s="107"/>
      <c r="E544" s="204"/>
      <c r="F544" s="107"/>
      <c r="G544" s="107"/>
      <c r="H544" s="107"/>
      <c r="I544" s="107"/>
    </row>
    <row r="545" spans="1:9" ht="20.399999999999999">
      <c r="A545" s="323"/>
      <c r="B545" s="107"/>
      <c r="C545" s="107"/>
      <c r="D545" s="107"/>
      <c r="E545" s="204"/>
      <c r="F545" s="107"/>
      <c r="G545" s="107"/>
      <c r="H545" s="107"/>
      <c r="I545" s="107"/>
    </row>
    <row r="546" spans="1:9" ht="20.399999999999999">
      <c r="A546" s="323"/>
      <c r="B546" s="107"/>
      <c r="C546" s="107"/>
      <c r="D546" s="107"/>
      <c r="E546" s="204"/>
      <c r="F546" s="107"/>
      <c r="G546" s="107"/>
      <c r="H546" s="107"/>
      <c r="I546" s="107"/>
    </row>
    <row r="547" spans="1:9" ht="20.399999999999999">
      <c r="A547" s="323"/>
      <c r="B547" s="107"/>
      <c r="C547" s="107"/>
      <c r="D547" s="107"/>
      <c r="E547" s="204"/>
      <c r="F547" s="107"/>
      <c r="G547" s="107"/>
      <c r="H547" s="107"/>
      <c r="I547" s="107"/>
    </row>
    <row r="548" spans="1:9" ht="20.399999999999999">
      <c r="A548" s="323"/>
      <c r="B548" s="107"/>
      <c r="C548" s="107"/>
      <c r="D548" s="107"/>
      <c r="E548" s="204"/>
      <c r="F548" s="107"/>
      <c r="G548" s="107"/>
      <c r="H548" s="107"/>
      <c r="I548" s="107"/>
    </row>
    <row r="549" spans="1:9" ht="20.399999999999999">
      <c r="A549" s="323"/>
      <c r="B549" s="107"/>
      <c r="C549" s="107"/>
      <c r="D549" s="107"/>
      <c r="E549" s="204"/>
      <c r="F549" s="107"/>
      <c r="G549" s="107"/>
      <c r="H549" s="107"/>
      <c r="I549" s="107"/>
    </row>
    <row r="550" spans="1:9" ht="20.399999999999999">
      <c r="A550" s="323"/>
      <c r="B550" s="107"/>
      <c r="C550" s="107"/>
      <c r="D550" s="107"/>
      <c r="E550" s="204"/>
      <c r="F550" s="107"/>
      <c r="G550" s="107"/>
      <c r="H550" s="107"/>
      <c r="I550" s="107"/>
    </row>
    <row r="551" spans="1:9" ht="20.399999999999999">
      <c r="A551" s="323"/>
      <c r="B551" s="107"/>
      <c r="C551" s="107"/>
      <c r="D551" s="107"/>
      <c r="E551" s="204"/>
      <c r="F551" s="107"/>
      <c r="G551" s="107"/>
      <c r="H551" s="107"/>
      <c r="I551" s="107"/>
    </row>
    <row r="552" spans="1:9" ht="20.399999999999999">
      <c r="A552" s="323"/>
      <c r="B552" s="107"/>
      <c r="C552" s="107"/>
      <c r="D552" s="107"/>
      <c r="E552" s="204"/>
      <c r="F552" s="107"/>
      <c r="G552" s="107"/>
      <c r="H552" s="107"/>
      <c r="I552" s="107"/>
    </row>
    <row r="553" spans="1:9" ht="20.399999999999999">
      <c r="A553" s="323"/>
      <c r="B553" s="107"/>
      <c r="C553" s="107"/>
      <c r="D553" s="107"/>
      <c r="E553" s="204"/>
      <c r="F553" s="107"/>
      <c r="G553" s="107"/>
      <c r="H553" s="107"/>
      <c r="I553" s="107"/>
    </row>
    <row r="554" spans="1:9" ht="20.399999999999999">
      <c r="A554" s="323"/>
      <c r="B554" s="107"/>
      <c r="C554" s="107"/>
      <c r="D554" s="107"/>
      <c r="E554" s="204"/>
      <c r="F554" s="107"/>
      <c r="G554" s="107"/>
      <c r="H554" s="107"/>
      <c r="I554" s="107"/>
    </row>
    <row r="555" spans="1:9" ht="20.399999999999999">
      <c r="A555" s="323"/>
      <c r="B555" s="107"/>
      <c r="C555" s="107"/>
      <c r="D555" s="107"/>
      <c r="E555" s="204"/>
      <c r="F555" s="107"/>
      <c r="G555" s="107"/>
      <c r="H555" s="107"/>
      <c r="I555" s="107"/>
    </row>
    <row r="556" spans="1:9" ht="20.399999999999999">
      <c r="A556" s="323"/>
      <c r="B556" s="107"/>
      <c r="C556" s="107"/>
      <c r="D556" s="107"/>
      <c r="E556" s="204"/>
      <c r="F556" s="107"/>
      <c r="G556" s="107"/>
      <c r="H556" s="107"/>
      <c r="I556" s="107"/>
    </row>
    <row r="557" spans="1:9" ht="20.399999999999999">
      <c r="A557" s="323"/>
      <c r="B557" s="107"/>
      <c r="C557" s="107"/>
      <c r="D557" s="107"/>
      <c r="E557" s="204"/>
      <c r="F557" s="107"/>
      <c r="G557" s="107"/>
      <c r="H557" s="107"/>
      <c r="I557" s="107"/>
    </row>
    <row r="558" spans="1:9" ht="20.399999999999999">
      <c r="A558" s="323"/>
      <c r="B558" s="107"/>
      <c r="C558" s="107"/>
      <c r="D558" s="107"/>
      <c r="E558" s="204"/>
      <c r="F558" s="107"/>
      <c r="G558" s="107"/>
      <c r="H558" s="107"/>
      <c r="I558" s="107"/>
    </row>
    <row r="559" spans="1:9" ht="20.399999999999999">
      <c r="A559" s="323"/>
      <c r="B559" s="107"/>
      <c r="C559" s="107"/>
      <c r="D559" s="107"/>
      <c r="E559" s="204"/>
      <c r="F559" s="107"/>
      <c r="G559" s="107"/>
      <c r="H559" s="107"/>
      <c r="I559" s="107"/>
    </row>
    <row r="560" spans="1:9" ht="20.399999999999999">
      <c r="A560" s="323"/>
      <c r="B560" s="107"/>
      <c r="C560" s="107"/>
      <c r="D560" s="107"/>
      <c r="E560" s="204"/>
      <c r="F560" s="107"/>
      <c r="G560" s="107"/>
      <c r="H560" s="107"/>
      <c r="I560" s="107"/>
    </row>
    <row r="561" spans="1:9" ht="20.399999999999999">
      <c r="A561" s="323"/>
      <c r="B561" s="107"/>
      <c r="C561" s="107"/>
      <c r="D561" s="107"/>
      <c r="E561" s="204"/>
      <c r="F561" s="107"/>
      <c r="G561" s="107"/>
      <c r="H561" s="107"/>
      <c r="I561" s="107"/>
    </row>
    <row r="562" spans="1:9" ht="20.399999999999999">
      <c r="A562" s="323"/>
      <c r="B562" s="107"/>
      <c r="C562" s="107"/>
      <c r="D562" s="107"/>
      <c r="E562" s="204"/>
      <c r="F562" s="107"/>
      <c r="G562" s="107"/>
      <c r="H562" s="107"/>
      <c r="I562" s="107"/>
    </row>
    <row r="563" spans="1:9" ht="20.399999999999999">
      <c r="A563" s="323"/>
      <c r="B563" s="107"/>
      <c r="C563" s="107"/>
      <c r="D563" s="107"/>
      <c r="E563" s="204"/>
      <c r="F563" s="107"/>
      <c r="G563" s="107"/>
      <c r="H563" s="107"/>
      <c r="I563" s="107"/>
    </row>
    <row r="564" spans="1:9" ht="20.399999999999999">
      <c r="A564" s="323"/>
      <c r="B564" s="107"/>
      <c r="C564" s="107"/>
      <c r="D564" s="107"/>
      <c r="E564" s="204"/>
      <c r="F564" s="107"/>
      <c r="G564" s="107"/>
      <c r="H564" s="107"/>
      <c r="I564" s="107"/>
    </row>
    <row r="565" spans="1:9" ht="20.399999999999999">
      <c r="A565" s="323"/>
      <c r="B565" s="107"/>
      <c r="C565" s="107"/>
      <c r="D565" s="107"/>
      <c r="E565" s="204"/>
      <c r="F565" s="107"/>
      <c r="G565" s="107"/>
      <c r="H565" s="107"/>
      <c r="I565" s="107"/>
    </row>
    <row r="566" spans="1:9" ht="20.399999999999999">
      <c r="A566" s="323"/>
      <c r="B566" s="107"/>
      <c r="C566" s="107"/>
      <c r="D566" s="107"/>
      <c r="E566" s="204"/>
      <c r="F566" s="107"/>
      <c r="G566" s="107"/>
      <c r="H566" s="107"/>
      <c r="I566" s="107"/>
    </row>
    <row r="567" spans="1:9" ht="20.399999999999999">
      <c r="A567" s="323"/>
      <c r="B567" s="107"/>
      <c r="C567" s="107"/>
      <c r="D567" s="107"/>
      <c r="E567" s="204"/>
      <c r="F567" s="107"/>
      <c r="G567" s="107"/>
      <c r="H567" s="107"/>
      <c r="I567" s="107"/>
    </row>
    <row r="568" spans="1:9" ht="20.399999999999999">
      <c r="A568" s="323"/>
      <c r="B568" s="107"/>
      <c r="C568" s="107"/>
      <c r="D568" s="107"/>
      <c r="E568" s="204"/>
      <c r="F568" s="107"/>
      <c r="G568" s="107"/>
      <c r="H568" s="107"/>
      <c r="I568" s="107"/>
    </row>
    <row r="569" spans="1:9" ht="20.399999999999999">
      <c r="A569" s="323"/>
      <c r="B569" s="107"/>
      <c r="C569" s="107"/>
      <c r="D569" s="107"/>
      <c r="E569" s="204"/>
      <c r="F569" s="107"/>
      <c r="G569" s="107"/>
      <c r="H569" s="107"/>
      <c r="I569" s="107"/>
    </row>
    <row r="570" spans="1:9" ht="20.399999999999999">
      <c r="A570" s="323"/>
      <c r="B570" s="107"/>
      <c r="C570" s="107"/>
      <c r="D570" s="107"/>
      <c r="E570" s="204"/>
      <c r="F570" s="107"/>
      <c r="G570" s="107"/>
      <c r="H570" s="107"/>
      <c r="I570" s="107"/>
    </row>
    <row r="571" spans="1:9" ht="20.399999999999999">
      <c r="A571" s="323"/>
      <c r="B571" s="107"/>
      <c r="C571" s="107"/>
      <c r="D571" s="107"/>
      <c r="E571" s="204"/>
      <c r="F571" s="107"/>
      <c r="G571" s="107"/>
      <c r="H571" s="107"/>
      <c r="I571" s="107"/>
    </row>
    <row r="572" spans="1:9" ht="20.399999999999999">
      <c r="A572" s="323"/>
      <c r="B572" s="107"/>
      <c r="C572" s="107"/>
      <c r="D572" s="107"/>
      <c r="E572" s="204"/>
      <c r="F572" s="107"/>
      <c r="G572" s="107"/>
      <c r="H572" s="107"/>
      <c r="I572" s="107"/>
    </row>
    <row r="573" spans="1:9" ht="20.399999999999999">
      <c r="A573" s="323"/>
      <c r="B573" s="107"/>
      <c r="C573" s="107"/>
      <c r="D573" s="107"/>
      <c r="E573" s="204"/>
      <c r="F573" s="107"/>
      <c r="G573" s="107"/>
      <c r="H573" s="107"/>
      <c r="I573" s="107"/>
    </row>
    <row r="574" spans="1:9" ht="20.399999999999999">
      <c r="A574" s="323"/>
      <c r="B574" s="107"/>
      <c r="C574" s="107"/>
      <c r="D574" s="107"/>
      <c r="E574" s="204"/>
      <c r="F574" s="107"/>
      <c r="G574" s="107"/>
      <c r="H574" s="107"/>
      <c r="I574" s="107"/>
    </row>
    <row r="575" spans="1:9" ht="20.399999999999999">
      <c r="A575" s="323"/>
      <c r="B575" s="107"/>
      <c r="C575" s="107"/>
      <c r="D575" s="107"/>
      <c r="E575" s="204"/>
      <c r="F575" s="107"/>
      <c r="G575" s="107"/>
      <c r="H575" s="107"/>
      <c r="I575" s="107"/>
    </row>
    <row r="576" spans="1:9" ht="20.399999999999999">
      <c r="A576" s="323"/>
      <c r="B576" s="107"/>
      <c r="C576" s="107"/>
      <c r="D576" s="107"/>
      <c r="E576" s="204"/>
      <c r="F576" s="107"/>
      <c r="G576" s="107"/>
      <c r="H576" s="107"/>
      <c r="I576" s="107"/>
    </row>
    <row r="577" spans="1:9" ht="20.399999999999999">
      <c r="A577" s="323"/>
      <c r="B577" s="107"/>
      <c r="C577" s="107"/>
      <c r="D577" s="107"/>
      <c r="E577" s="204"/>
      <c r="F577" s="107"/>
      <c r="G577" s="107"/>
      <c r="H577" s="107"/>
      <c r="I577" s="107"/>
    </row>
    <row r="578" spans="1:9" ht="20.399999999999999">
      <c r="A578" s="323"/>
      <c r="B578" s="107"/>
      <c r="C578" s="107"/>
      <c r="D578" s="107"/>
      <c r="E578" s="204"/>
      <c r="F578" s="107"/>
      <c r="G578" s="107"/>
      <c r="H578" s="107"/>
      <c r="I578" s="107"/>
    </row>
    <row r="579" spans="1:9" ht="20.399999999999999">
      <c r="A579" s="323"/>
      <c r="B579" s="107"/>
      <c r="C579" s="107"/>
      <c r="D579" s="107"/>
      <c r="E579" s="204"/>
      <c r="F579" s="107"/>
      <c r="G579" s="107"/>
      <c r="H579" s="107"/>
      <c r="I579" s="107"/>
    </row>
    <row r="580" spans="1:9" ht="20.399999999999999">
      <c r="A580" s="323"/>
      <c r="B580" s="107"/>
      <c r="C580" s="107"/>
      <c r="D580" s="107"/>
      <c r="E580" s="204"/>
      <c r="F580" s="107"/>
      <c r="G580" s="107"/>
      <c r="H580" s="107"/>
      <c r="I580" s="107"/>
    </row>
    <row r="581" spans="1:9" ht="20.399999999999999">
      <c r="A581" s="323"/>
      <c r="B581" s="107"/>
      <c r="C581" s="107"/>
      <c r="D581" s="107"/>
      <c r="E581" s="204"/>
      <c r="F581" s="107"/>
      <c r="G581" s="107"/>
      <c r="H581" s="107"/>
      <c r="I581" s="107"/>
    </row>
    <row r="582" spans="1:9" ht="20.399999999999999">
      <c r="A582" s="323"/>
      <c r="B582" s="107"/>
      <c r="C582" s="107"/>
      <c r="D582" s="107"/>
      <c r="E582" s="204"/>
      <c r="F582" s="107"/>
      <c r="G582" s="107"/>
      <c r="H582" s="107"/>
      <c r="I582" s="107"/>
    </row>
    <row r="583" spans="1:9" ht="20.399999999999999">
      <c r="A583" s="323"/>
      <c r="B583" s="107"/>
      <c r="C583" s="107"/>
      <c r="D583" s="107"/>
      <c r="E583" s="204"/>
      <c r="F583" s="107"/>
      <c r="G583" s="107"/>
      <c r="H583" s="107"/>
      <c r="I583" s="107"/>
    </row>
    <row r="584" spans="1:9" ht="20.399999999999999">
      <c r="A584" s="323"/>
      <c r="B584" s="107"/>
      <c r="C584" s="107"/>
      <c r="D584" s="107"/>
      <c r="E584" s="204"/>
      <c r="F584" s="107"/>
      <c r="G584" s="107"/>
      <c r="H584" s="107"/>
      <c r="I584" s="107"/>
    </row>
    <row r="585" spans="1:9" ht="20.399999999999999">
      <c r="A585" s="323"/>
      <c r="B585" s="107"/>
      <c r="C585" s="107"/>
      <c r="D585" s="107"/>
      <c r="E585" s="204"/>
      <c r="F585" s="107"/>
      <c r="G585" s="107"/>
      <c r="H585" s="107"/>
      <c r="I585" s="107"/>
    </row>
    <row r="586" spans="1:9" ht="20.399999999999999">
      <c r="A586" s="323"/>
      <c r="B586" s="107"/>
      <c r="C586" s="107"/>
      <c r="D586" s="107"/>
      <c r="E586" s="204"/>
      <c r="F586" s="107"/>
      <c r="G586" s="107"/>
      <c r="H586" s="107"/>
      <c r="I586" s="107"/>
    </row>
    <row r="587" spans="1:9" ht="20.399999999999999">
      <c r="A587" s="323"/>
      <c r="B587" s="107"/>
      <c r="C587" s="107"/>
      <c r="D587" s="107"/>
      <c r="E587" s="204"/>
      <c r="F587" s="107"/>
      <c r="G587" s="107"/>
      <c r="H587" s="107"/>
      <c r="I587" s="107"/>
    </row>
    <row r="588" spans="1:9" ht="20.399999999999999">
      <c r="A588" s="323"/>
      <c r="B588" s="107"/>
      <c r="C588" s="107"/>
      <c r="D588" s="107"/>
      <c r="E588" s="204"/>
      <c r="F588" s="107"/>
      <c r="G588" s="107"/>
      <c r="H588" s="107"/>
      <c r="I588" s="107"/>
    </row>
    <row r="589" spans="1:9" ht="20.399999999999999">
      <c r="A589" s="323"/>
      <c r="B589" s="107"/>
      <c r="C589" s="107"/>
      <c r="D589" s="107"/>
      <c r="E589" s="204"/>
      <c r="F589" s="107"/>
      <c r="G589" s="107"/>
      <c r="H589" s="107"/>
      <c r="I589" s="107"/>
    </row>
    <row r="590" spans="1:9" ht="20.399999999999999">
      <c r="A590" s="323"/>
      <c r="B590" s="107"/>
      <c r="C590" s="107"/>
      <c r="D590" s="107"/>
      <c r="E590" s="204"/>
      <c r="F590" s="107"/>
      <c r="G590" s="107"/>
      <c r="H590" s="107"/>
      <c r="I590" s="107"/>
    </row>
    <row r="591" spans="1:9" ht="20.399999999999999">
      <c r="A591" s="323"/>
      <c r="B591" s="107"/>
      <c r="C591" s="107"/>
      <c r="D591" s="107"/>
      <c r="E591" s="204"/>
      <c r="F591" s="107"/>
      <c r="G591" s="107"/>
      <c r="H591" s="107"/>
      <c r="I591" s="107"/>
    </row>
    <row r="592" spans="1:9" ht="20.399999999999999">
      <c r="A592" s="323"/>
      <c r="B592" s="107"/>
      <c r="C592" s="107"/>
      <c r="D592" s="107"/>
      <c r="E592" s="204"/>
      <c r="F592" s="107"/>
      <c r="G592" s="107"/>
      <c r="H592" s="107"/>
      <c r="I592" s="107"/>
    </row>
    <row r="593" spans="1:9" ht="20.399999999999999">
      <c r="A593" s="323"/>
      <c r="B593" s="107"/>
      <c r="C593" s="107"/>
      <c r="D593" s="107"/>
      <c r="E593" s="204"/>
      <c r="F593" s="107"/>
      <c r="G593" s="107"/>
      <c r="H593" s="107"/>
      <c r="I593" s="107"/>
    </row>
    <row r="594" spans="1:9" ht="20.399999999999999">
      <c r="A594" s="323"/>
      <c r="B594" s="107"/>
      <c r="C594" s="107"/>
      <c r="D594" s="107"/>
      <c r="E594" s="204"/>
      <c r="F594" s="107"/>
      <c r="G594" s="107"/>
      <c r="H594" s="107"/>
      <c r="I594" s="107"/>
    </row>
    <row r="595" spans="1:9" ht="20.399999999999999">
      <c r="A595" s="323"/>
      <c r="B595" s="107"/>
      <c r="C595" s="107"/>
      <c r="D595" s="107"/>
      <c r="E595" s="204"/>
      <c r="F595" s="107"/>
      <c r="G595" s="107"/>
      <c r="H595" s="107"/>
      <c r="I595" s="107"/>
    </row>
    <row r="596" spans="1:9" ht="20.399999999999999">
      <c r="A596" s="323"/>
      <c r="B596" s="107"/>
      <c r="C596" s="107"/>
      <c r="D596" s="107"/>
      <c r="E596" s="204"/>
      <c r="F596" s="107"/>
      <c r="G596" s="107"/>
      <c r="H596" s="107"/>
      <c r="I596" s="107"/>
    </row>
    <row r="597" spans="1:9" ht="20.399999999999999">
      <c r="A597" s="323"/>
      <c r="B597" s="107"/>
      <c r="C597" s="107"/>
      <c r="D597" s="107"/>
      <c r="E597" s="204"/>
      <c r="F597" s="107"/>
      <c r="G597" s="107"/>
      <c r="H597" s="107"/>
      <c r="I597" s="107"/>
    </row>
    <row r="598" spans="1:9" ht="20.399999999999999">
      <c r="A598" s="323"/>
      <c r="B598" s="107"/>
      <c r="C598" s="107"/>
      <c r="D598" s="107"/>
      <c r="E598" s="204"/>
      <c r="F598" s="107"/>
      <c r="G598" s="107"/>
      <c r="H598" s="107"/>
      <c r="I598" s="107"/>
    </row>
    <row r="599" spans="1:9" ht="20.399999999999999">
      <c r="A599" s="323"/>
      <c r="B599" s="107"/>
      <c r="C599" s="107"/>
      <c r="D599" s="107"/>
      <c r="E599" s="204"/>
      <c r="F599" s="107"/>
      <c r="G599" s="107"/>
      <c r="H599" s="107"/>
      <c r="I599" s="107"/>
    </row>
    <row r="600" spans="1:9" ht="20.399999999999999">
      <c r="A600" s="323"/>
      <c r="B600" s="107"/>
      <c r="C600" s="107"/>
      <c r="D600" s="107"/>
      <c r="E600" s="204"/>
      <c r="F600" s="107"/>
      <c r="G600" s="107"/>
      <c r="H600" s="107"/>
      <c r="I600" s="107"/>
    </row>
    <row r="601" spans="1:9" ht="20.399999999999999">
      <c r="A601" s="323"/>
      <c r="B601" s="107"/>
      <c r="C601" s="107"/>
      <c r="D601" s="107"/>
      <c r="E601" s="204"/>
      <c r="F601" s="107"/>
      <c r="G601" s="107"/>
      <c r="H601" s="107"/>
      <c r="I601" s="107"/>
    </row>
    <row r="602" spans="1:9" ht="20.399999999999999">
      <c r="A602" s="323"/>
      <c r="B602" s="107"/>
      <c r="C602" s="107"/>
      <c r="D602" s="107"/>
      <c r="E602" s="204"/>
      <c r="F602" s="107"/>
      <c r="G602" s="107"/>
      <c r="H602" s="107"/>
      <c r="I602" s="107"/>
    </row>
    <row r="603" spans="1:9" ht="20.399999999999999">
      <c r="A603" s="323"/>
      <c r="B603" s="107"/>
      <c r="C603" s="107"/>
      <c r="D603" s="107"/>
      <c r="E603" s="204"/>
      <c r="F603" s="107"/>
      <c r="G603" s="107"/>
      <c r="H603" s="107"/>
      <c r="I603" s="107"/>
    </row>
    <row r="604" spans="1:9" ht="20.399999999999999">
      <c r="A604" s="323"/>
      <c r="B604" s="107"/>
      <c r="C604" s="107"/>
      <c r="D604" s="107"/>
      <c r="E604" s="204"/>
      <c r="F604" s="107"/>
      <c r="G604" s="107"/>
      <c r="H604" s="107"/>
      <c r="I604" s="107"/>
    </row>
    <row r="605" spans="1:9" ht="20.399999999999999">
      <c r="A605" s="323"/>
      <c r="B605" s="107"/>
      <c r="C605" s="107"/>
      <c r="D605" s="107"/>
      <c r="E605" s="204"/>
      <c r="F605" s="107"/>
      <c r="G605" s="107"/>
      <c r="H605" s="107"/>
      <c r="I605" s="107"/>
    </row>
    <row r="606" spans="1:9" ht="20.399999999999999">
      <c r="A606" s="323"/>
      <c r="B606" s="107"/>
      <c r="C606" s="107"/>
      <c r="D606" s="107"/>
      <c r="E606" s="204"/>
      <c r="F606" s="107"/>
      <c r="G606" s="107"/>
      <c r="H606" s="107"/>
      <c r="I606" s="107"/>
    </row>
    <row r="607" spans="1:9" ht="20.399999999999999">
      <c r="A607" s="323"/>
      <c r="B607" s="107"/>
      <c r="C607" s="107"/>
      <c r="D607" s="107"/>
      <c r="E607" s="204"/>
      <c r="F607" s="107"/>
      <c r="G607" s="107"/>
      <c r="H607" s="107"/>
      <c r="I607" s="107"/>
    </row>
    <row r="608" spans="1:9" ht="20.399999999999999">
      <c r="A608" s="323"/>
      <c r="B608" s="107"/>
      <c r="C608" s="107"/>
      <c r="D608" s="107"/>
      <c r="E608" s="204"/>
      <c r="F608" s="107"/>
      <c r="G608" s="107"/>
      <c r="H608" s="107"/>
      <c r="I608" s="107"/>
    </row>
    <row r="609" spans="1:9" ht="20.399999999999999">
      <c r="A609" s="323"/>
      <c r="B609" s="107"/>
      <c r="C609" s="107"/>
      <c r="D609" s="107"/>
      <c r="E609" s="204"/>
      <c r="F609" s="107"/>
      <c r="G609" s="107"/>
      <c r="H609" s="107"/>
      <c r="I609" s="107"/>
    </row>
    <row r="610" spans="1:9" ht="20.399999999999999">
      <c r="A610" s="323"/>
      <c r="B610" s="107"/>
      <c r="C610" s="107"/>
      <c r="D610" s="107"/>
      <c r="E610" s="204"/>
      <c r="F610" s="107"/>
      <c r="G610" s="107"/>
      <c r="H610" s="107"/>
      <c r="I610" s="107"/>
    </row>
    <row r="611" spans="1:9" ht="20.399999999999999">
      <c r="A611" s="323"/>
      <c r="B611" s="107"/>
      <c r="C611" s="107"/>
      <c r="D611" s="107"/>
      <c r="E611" s="204"/>
      <c r="F611" s="107"/>
      <c r="G611" s="107"/>
      <c r="H611" s="107"/>
      <c r="I611" s="107"/>
    </row>
    <row r="612" spans="1:9" ht="20.399999999999999">
      <c r="A612" s="323"/>
      <c r="B612" s="107"/>
      <c r="C612" s="107"/>
      <c r="D612" s="107"/>
      <c r="E612" s="204"/>
      <c r="F612" s="107"/>
      <c r="G612" s="107"/>
      <c r="H612" s="107"/>
      <c r="I612" s="107"/>
    </row>
    <row r="613" spans="1:9" ht="20.399999999999999">
      <c r="A613" s="323"/>
      <c r="B613" s="107"/>
      <c r="C613" s="107"/>
      <c r="D613" s="107"/>
      <c r="E613" s="204"/>
      <c r="F613" s="107"/>
      <c r="G613" s="107"/>
      <c r="H613" s="107"/>
      <c r="I613" s="107"/>
    </row>
    <row r="614" spans="1:9" ht="20.399999999999999">
      <c r="A614" s="323"/>
      <c r="B614" s="107"/>
      <c r="C614" s="107"/>
      <c r="D614" s="107"/>
      <c r="E614" s="204"/>
      <c r="F614" s="107"/>
      <c r="G614" s="107"/>
      <c r="H614" s="107"/>
      <c r="I614" s="107"/>
    </row>
    <row r="615" spans="1:9" ht="20.399999999999999">
      <c r="A615" s="323"/>
      <c r="B615" s="107"/>
      <c r="C615" s="107"/>
      <c r="D615" s="107"/>
      <c r="E615" s="204"/>
      <c r="F615" s="107"/>
      <c r="G615" s="107"/>
      <c r="H615" s="107"/>
      <c r="I615" s="107"/>
    </row>
    <row r="616" spans="1:9" ht="20.399999999999999">
      <c r="A616" s="323"/>
      <c r="B616" s="107"/>
      <c r="C616" s="107"/>
      <c r="D616" s="107"/>
      <c r="E616" s="204"/>
      <c r="F616" s="107"/>
      <c r="G616" s="107"/>
      <c r="H616" s="107"/>
      <c r="I616" s="107"/>
    </row>
    <row r="617" spans="1:9" ht="20.399999999999999">
      <c r="A617" s="323"/>
      <c r="B617" s="107"/>
      <c r="C617" s="107"/>
      <c r="D617" s="107"/>
      <c r="E617" s="204"/>
      <c r="F617" s="107"/>
      <c r="G617" s="107"/>
      <c r="H617" s="107"/>
      <c r="I617" s="107"/>
    </row>
    <row r="618" spans="1:9" ht="20.399999999999999">
      <c r="A618" s="323"/>
      <c r="B618" s="107"/>
      <c r="C618" s="107"/>
      <c r="D618" s="107"/>
      <c r="E618" s="204"/>
      <c r="F618" s="107"/>
      <c r="G618" s="107"/>
      <c r="H618" s="107"/>
      <c r="I618" s="107"/>
    </row>
    <row r="619" spans="1:9" ht="20.399999999999999">
      <c r="A619" s="323"/>
      <c r="B619" s="107"/>
      <c r="C619" s="107"/>
      <c r="D619" s="107"/>
      <c r="E619" s="204"/>
      <c r="F619" s="107"/>
      <c r="G619" s="107"/>
      <c r="H619" s="107"/>
      <c r="I619" s="107"/>
    </row>
    <row r="620" spans="1:9" ht="20.399999999999999">
      <c r="A620" s="323"/>
      <c r="B620" s="107"/>
      <c r="C620" s="107"/>
      <c r="D620" s="107"/>
      <c r="E620" s="204"/>
      <c r="F620" s="107"/>
      <c r="G620" s="107"/>
      <c r="H620" s="107"/>
      <c r="I620" s="107"/>
    </row>
    <row r="621" spans="1:9" ht="20.399999999999999">
      <c r="A621" s="323"/>
      <c r="B621" s="107"/>
      <c r="C621" s="107"/>
      <c r="D621" s="107"/>
      <c r="E621" s="204"/>
      <c r="F621" s="107"/>
      <c r="G621" s="107"/>
      <c r="H621" s="107"/>
      <c r="I621" s="107"/>
    </row>
    <row r="622" spans="1:9" ht="20.399999999999999">
      <c r="A622" s="323"/>
      <c r="B622" s="107"/>
      <c r="C622" s="107"/>
      <c r="D622" s="107"/>
      <c r="E622" s="204"/>
      <c r="F622" s="107"/>
      <c r="G622" s="107"/>
      <c r="H622" s="107"/>
      <c r="I622" s="107"/>
    </row>
    <row r="623" spans="1:9" ht="20.399999999999999">
      <c r="A623" s="323"/>
      <c r="B623" s="107"/>
      <c r="C623" s="107"/>
      <c r="D623" s="107"/>
      <c r="E623" s="204"/>
      <c r="F623" s="107"/>
      <c r="G623" s="107"/>
      <c r="H623" s="107"/>
      <c r="I623" s="107"/>
    </row>
    <row r="624" spans="1:9" ht="20.399999999999999">
      <c r="A624" s="323"/>
      <c r="B624" s="107"/>
      <c r="C624" s="107"/>
      <c r="D624" s="107"/>
      <c r="E624" s="204"/>
      <c r="F624" s="107"/>
      <c r="G624" s="107"/>
      <c r="H624" s="107"/>
      <c r="I624" s="107"/>
    </row>
    <row r="625" spans="1:9" ht="20.399999999999999">
      <c r="A625" s="323"/>
      <c r="B625" s="107"/>
      <c r="C625" s="107"/>
      <c r="D625" s="107"/>
      <c r="E625" s="204"/>
      <c r="F625" s="107"/>
      <c r="G625" s="107"/>
      <c r="H625" s="107"/>
      <c r="I625" s="107"/>
    </row>
    <row r="626" spans="1:9" ht="20.399999999999999">
      <c r="A626" s="323"/>
      <c r="B626" s="107"/>
      <c r="C626" s="107"/>
      <c r="D626" s="107"/>
      <c r="E626" s="204"/>
      <c r="F626" s="107"/>
      <c r="G626" s="107"/>
      <c r="H626" s="107"/>
      <c r="I626" s="107"/>
    </row>
    <row r="627" spans="1:9" ht="20.399999999999999">
      <c r="A627" s="323"/>
      <c r="B627" s="107"/>
      <c r="C627" s="107"/>
      <c r="D627" s="107"/>
      <c r="E627" s="204"/>
      <c r="F627" s="107"/>
      <c r="G627" s="107"/>
      <c r="H627" s="107"/>
      <c r="I627" s="107"/>
    </row>
    <row r="628" spans="1:9" ht="20.399999999999999">
      <c r="A628" s="323"/>
      <c r="B628" s="107"/>
      <c r="C628" s="107"/>
      <c r="D628" s="107"/>
      <c r="E628" s="204"/>
      <c r="F628" s="107"/>
      <c r="G628" s="107"/>
      <c r="H628" s="107"/>
      <c r="I628" s="107"/>
    </row>
    <row r="629" spans="1:9" ht="20.399999999999999">
      <c r="A629" s="323"/>
      <c r="B629" s="107"/>
      <c r="C629" s="107"/>
      <c r="D629" s="107"/>
      <c r="E629" s="204"/>
      <c r="F629" s="107"/>
      <c r="G629" s="107"/>
      <c r="H629" s="107"/>
      <c r="I629" s="107"/>
    </row>
    <row r="630" spans="1:9" ht="20.399999999999999">
      <c r="A630" s="323"/>
      <c r="B630" s="107"/>
      <c r="C630" s="107"/>
      <c r="D630" s="107"/>
      <c r="E630" s="204"/>
      <c r="F630" s="107"/>
      <c r="G630" s="107"/>
      <c r="H630" s="107"/>
      <c r="I630" s="107"/>
    </row>
    <row r="631" spans="1:9" ht="20.399999999999999">
      <c r="A631" s="323"/>
      <c r="B631" s="107"/>
      <c r="C631" s="107"/>
      <c r="D631" s="107"/>
      <c r="E631" s="204"/>
      <c r="F631" s="107"/>
      <c r="G631" s="107"/>
      <c r="H631" s="107"/>
      <c r="I631" s="107"/>
    </row>
    <row r="632" spans="1:9" ht="20.399999999999999">
      <c r="A632" s="323"/>
      <c r="B632" s="107"/>
      <c r="C632" s="107"/>
      <c r="D632" s="107"/>
      <c r="E632" s="204"/>
      <c r="F632" s="107"/>
      <c r="G632" s="107"/>
      <c r="H632" s="107"/>
      <c r="I632" s="107"/>
    </row>
    <row r="633" spans="1:9" ht="20.399999999999999">
      <c r="A633" s="323"/>
      <c r="B633" s="107"/>
      <c r="C633" s="107"/>
      <c r="D633" s="107"/>
      <c r="E633" s="204"/>
      <c r="F633" s="107"/>
      <c r="G633" s="107"/>
      <c r="H633" s="107"/>
      <c r="I633" s="107"/>
    </row>
    <row r="634" spans="1:9" ht="20.399999999999999">
      <c r="A634" s="323"/>
      <c r="B634" s="107"/>
      <c r="C634" s="107"/>
      <c r="D634" s="107"/>
      <c r="E634" s="204"/>
      <c r="F634" s="107"/>
      <c r="G634" s="107"/>
      <c r="H634" s="107"/>
      <c r="I634" s="107"/>
    </row>
    <row r="635" spans="1:9" ht="20.399999999999999">
      <c r="A635" s="323"/>
      <c r="B635" s="107"/>
      <c r="C635" s="107"/>
      <c r="D635" s="107"/>
      <c r="E635" s="204"/>
      <c r="F635" s="107"/>
      <c r="G635" s="107"/>
      <c r="H635" s="107"/>
      <c r="I635" s="107"/>
    </row>
    <row r="636" spans="1:9" ht="20.399999999999999">
      <c r="A636" s="323"/>
      <c r="B636" s="107"/>
      <c r="C636" s="107"/>
      <c r="D636" s="107"/>
      <c r="E636" s="204"/>
      <c r="F636" s="107"/>
      <c r="G636" s="107"/>
      <c r="H636" s="107"/>
      <c r="I636" s="107"/>
    </row>
    <row r="637" spans="1:9" ht="20.399999999999999">
      <c r="A637" s="323"/>
      <c r="B637" s="107"/>
      <c r="C637" s="107"/>
      <c r="D637" s="107"/>
      <c r="E637" s="204"/>
      <c r="F637" s="107"/>
      <c r="G637" s="107"/>
      <c r="H637" s="107"/>
      <c r="I637" s="107"/>
    </row>
    <row r="638" spans="1:9" ht="20.399999999999999">
      <c r="A638" s="323"/>
      <c r="B638" s="107"/>
      <c r="C638" s="107"/>
      <c r="D638" s="107"/>
      <c r="E638" s="204"/>
      <c r="F638" s="107"/>
      <c r="G638" s="107"/>
      <c r="H638" s="107"/>
      <c r="I638" s="107"/>
    </row>
    <row r="639" spans="1:9" ht="20.399999999999999">
      <c r="A639" s="323"/>
      <c r="B639" s="107"/>
      <c r="C639" s="107"/>
      <c r="D639" s="107"/>
      <c r="E639" s="204"/>
      <c r="F639" s="107"/>
      <c r="G639" s="107"/>
      <c r="H639" s="107"/>
      <c r="I639" s="107"/>
    </row>
    <row r="640" spans="1:9" ht="20.399999999999999">
      <c r="A640" s="323"/>
      <c r="B640" s="107"/>
      <c r="C640" s="107"/>
      <c r="D640" s="107"/>
      <c r="E640" s="204"/>
      <c r="F640" s="107"/>
      <c r="G640" s="107"/>
      <c r="H640" s="107"/>
      <c r="I640" s="107"/>
    </row>
    <row r="641" spans="1:9" ht="20.399999999999999">
      <c r="A641" s="323"/>
      <c r="B641" s="107"/>
      <c r="C641" s="107"/>
      <c r="D641" s="107"/>
      <c r="E641" s="204"/>
      <c r="F641" s="107"/>
      <c r="G641" s="107"/>
      <c r="H641" s="107"/>
      <c r="I641" s="107"/>
    </row>
    <row r="642" spans="1:9" ht="20.399999999999999">
      <c r="A642" s="323"/>
      <c r="B642" s="107"/>
      <c r="C642" s="107"/>
      <c r="D642" s="107"/>
      <c r="E642" s="204"/>
      <c r="F642" s="107"/>
      <c r="G642" s="107"/>
      <c r="H642" s="107"/>
      <c r="I642" s="107"/>
    </row>
    <row r="643" spans="1:9" ht="20.399999999999999">
      <c r="A643" s="323"/>
      <c r="B643" s="107"/>
      <c r="C643" s="107"/>
      <c r="D643" s="107"/>
      <c r="E643" s="204"/>
      <c r="F643" s="107"/>
      <c r="G643" s="107"/>
      <c r="H643" s="107"/>
      <c r="I643" s="107"/>
    </row>
    <row r="644" spans="1:9" ht="20.399999999999999">
      <c r="A644" s="323"/>
      <c r="B644" s="107"/>
      <c r="C644" s="107"/>
      <c r="D644" s="107"/>
      <c r="E644" s="204"/>
      <c r="F644" s="107"/>
      <c r="G644" s="107"/>
      <c r="H644" s="107"/>
      <c r="I644" s="107"/>
    </row>
    <row r="645" spans="1:9" ht="20.399999999999999">
      <c r="A645" s="323"/>
      <c r="B645" s="107"/>
      <c r="C645" s="107"/>
      <c r="D645" s="107"/>
      <c r="E645" s="204"/>
      <c r="F645" s="107"/>
      <c r="G645" s="107"/>
      <c r="H645" s="107"/>
      <c r="I645" s="107"/>
    </row>
    <row r="646" spans="1:9" ht="20.399999999999999">
      <c r="A646" s="323"/>
      <c r="B646" s="107"/>
      <c r="C646" s="107"/>
      <c r="D646" s="107"/>
      <c r="E646" s="204"/>
      <c r="F646" s="107"/>
      <c r="G646" s="107"/>
      <c r="H646" s="107"/>
      <c r="I646" s="107"/>
    </row>
    <row r="647" spans="1:9" ht="20.399999999999999">
      <c r="A647" s="323"/>
      <c r="B647" s="107"/>
      <c r="C647" s="107"/>
      <c r="D647" s="107"/>
      <c r="E647" s="204"/>
      <c r="F647" s="107"/>
      <c r="G647" s="107"/>
      <c r="H647" s="107"/>
      <c r="I647" s="107"/>
    </row>
    <row r="648" spans="1:9" ht="20.399999999999999">
      <c r="A648" s="323"/>
      <c r="B648" s="107"/>
      <c r="C648" s="107"/>
      <c r="D648" s="107"/>
      <c r="E648" s="204"/>
      <c r="F648" s="107"/>
      <c r="G648" s="107"/>
      <c r="H648" s="107"/>
      <c r="I648" s="107"/>
    </row>
    <row r="649" spans="1:9" ht="20.399999999999999">
      <c r="A649" s="323"/>
      <c r="B649" s="107"/>
      <c r="C649" s="107"/>
      <c r="D649" s="107"/>
      <c r="E649" s="204"/>
      <c r="F649" s="107"/>
      <c r="G649" s="107"/>
      <c r="H649" s="107"/>
      <c r="I649" s="107"/>
    </row>
    <row r="650" spans="1:9" ht="20.399999999999999">
      <c r="A650" s="323"/>
      <c r="B650" s="107"/>
      <c r="C650" s="107"/>
      <c r="D650" s="107"/>
      <c r="E650" s="204"/>
      <c r="F650" s="107"/>
      <c r="G650" s="107"/>
      <c r="H650" s="107"/>
      <c r="I650" s="107"/>
    </row>
    <row r="651" spans="1:9" ht="20.399999999999999">
      <c r="A651" s="323"/>
      <c r="B651" s="107"/>
      <c r="C651" s="107"/>
      <c r="D651" s="107"/>
      <c r="E651" s="204"/>
      <c r="F651" s="107"/>
      <c r="G651" s="107"/>
      <c r="H651" s="107"/>
      <c r="I651" s="107"/>
    </row>
    <row r="652" spans="1:9" ht="20.399999999999999">
      <c r="A652" s="323"/>
      <c r="B652" s="107"/>
      <c r="C652" s="107"/>
      <c r="D652" s="107"/>
      <c r="E652" s="204"/>
      <c r="F652" s="107"/>
      <c r="G652" s="107"/>
      <c r="H652" s="107"/>
      <c r="I652" s="107"/>
    </row>
    <row r="653" spans="1:9" ht="20.399999999999999">
      <c r="A653" s="323"/>
      <c r="B653" s="107"/>
      <c r="C653" s="107"/>
      <c r="D653" s="107"/>
      <c r="E653" s="204"/>
      <c r="F653" s="107"/>
      <c r="G653" s="107"/>
      <c r="H653" s="107"/>
      <c r="I653" s="107"/>
    </row>
    <row r="654" spans="1:9" ht="20.399999999999999">
      <c r="A654" s="323"/>
      <c r="B654" s="107"/>
      <c r="C654" s="107"/>
      <c r="D654" s="107"/>
      <c r="E654" s="204"/>
      <c r="F654" s="107"/>
      <c r="G654" s="107"/>
      <c r="H654" s="107"/>
      <c r="I654" s="107"/>
    </row>
    <row r="655" spans="1:9" ht="20.399999999999999">
      <c r="A655" s="323"/>
      <c r="B655" s="107"/>
      <c r="C655" s="107"/>
      <c r="D655" s="107"/>
      <c r="E655" s="204"/>
      <c r="F655" s="107"/>
      <c r="G655" s="107"/>
      <c r="H655" s="107"/>
      <c r="I655" s="107"/>
    </row>
    <row r="656" spans="1:9" ht="20.399999999999999">
      <c r="A656" s="323"/>
      <c r="B656" s="107"/>
      <c r="C656" s="107"/>
      <c r="D656" s="107"/>
      <c r="E656" s="204"/>
      <c r="F656" s="107"/>
      <c r="G656" s="107"/>
      <c r="H656" s="107"/>
      <c r="I656" s="107"/>
    </row>
    <row r="657" spans="1:9" ht="20.399999999999999">
      <c r="A657" s="323"/>
      <c r="B657" s="107"/>
      <c r="C657" s="107"/>
      <c r="D657" s="107"/>
      <c r="E657" s="204"/>
      <c r="F657" s="107"/>
      <c r="G657" s="107"/>
      <c r="H657" s="107"/>
      <c r="I657" s="107"/>
    </row>
    <row r="658" spans="1:9" ht="20.399999999999999">
      <c r="A658" s="323"/>
      <c r="B658" s="107"/>
      <c r="C658" s="107"/>
      <c r="D658" s="107"/>
      <c r="E658" s="204"/>
      <c r="F658" s="107"/>
      <c r="G658" s="107"/>
      <c r="H658" s="107"/>
      <c r="I658" s="107"/>
    </row>
    <row r="659" spans="1:9" ht="20.399999999999999">
      <c r="A659" s="323"/>
      <c r="B659" s="107"/>
      <c r="C659" s="107"/>
      <c r="D659" s="107"/>
      <c r="E659" s="204"/>
      <c r="F659" s="107"/>
      <c r="G659" s="107"/>
      <c r="H659" s="107"/>
      <c r="I659" s="107"/>
    </row>
    <row r="660" spans="1:9" ht="20.399999999999999">
      <c r="A660" s="323"/>
      <c r="B660" s="107"/>
      <c r="C660" s="107"/>
      <c r="D660" s="107"/>
      <c r="E660" s="204"/>
      <c r="F660" s="107"/>
      <c r="G660" s="107"/>
      <c r="H660" s="107"/>
      <c r="I660" s="107"/>
    </row>
    <row r="661" spans="1:9" ht="20.399999999999999">
      <c r="A661" s="323"/>
      <c r="B661" s="107"/>
      <c r="C661" s="107"/>
      <c r="D661" s="107"/>
      <c r="E661" s="204"/>
      <c r="F661" s="107"/>
      <c r="G661" s="107"/>
      <c r="H661" s="107"/>
      <c r="I661" s="107"/>
    </row>
    <row r="662" spans="1:9" ht="20.399999999999999">
      <c r="A662" s="323"/>
      <c r="B662" s="107"/>
      <c r="C662" s="107"/>
      <c r="D662" s="107"/>
      <c r="E662" s="204"/>
      <c r="F662" s="107"/>
      <c r="G662" s="107"/>
      <c r="H662" s="107"/>
      <c r="I662" s="107"/>
    </row>
    <row r="663" spans="1:9" ht="20.399999999999999">
      <c r="A663" s="323"/>
      <c r="B663" s="107"/>
      <c r="C663" s="107"/>
      <c r="D663" s="107"/>
      <c r="E663" s="204"/>
      <c r="F663" s="107"/>
      <c r="G663" s="107"/>
      <c r="H663" s="107"/>
      <c r="I663" s="107"/>
    </row>
    <row r="664" spans="1:9" ht="20.399999999999999">
      <c r="A664" s="323"/>
      <c r="B664" s="107"/>
      <c r="C664" s="107"/>
      <c r="D664" s="107"/>
      <c r="E664" s="204"/>
      <c r="F664" s="107"/>
      <c r="G664" s="107"/>
      <c r="H664" s="107"/>
      <c r="I664" s="107"/>
    </row>
    <row r="665" spans="1:9" ht="20.399999999999999">
      <c r="A665" s="323"/>
      <c r="B665" s="107"/>
      <c r="C665" s="107"/>
      <c r="D665" s="107"/>
      <c r="E665" s="204"/>
      <c r="F665" s="107"/>
      <c r="G665" s="107"/>
      <c r="H665" s="107"/>
      <c r="I665" s="107"/>
    </row>
    <row r="666" spans="1:9" ht="20.399999999999999">
      <c r="A666" s="323"/>
      <c r="B666" s="107"/>
      <c r="C666" s="107"/>
      <c r="D666" s="107"/>
      <c r="E666" s="204"/>
      <c r="F666" s="107"/>
      <c r="G666" s="107"/>
      <c r="H666" s="107"/>
      <c r="I666" s="107"/>
    </row>
    <row r="667" spans="1:9" ht="20.399999999999999">
      <c r="A667" s="323"/>
      <c r="B667" s="107"/>
      <c r="C667" s="107"/>
      <c r="D667" s="107"/>
      <c r="E667" s="204"/>
      <c r="F667" s="107"/>
      <c r="G667" s="107"/>
      <c r="H667" s="107"/>
      <c r="I667" s="107"/>
    </row>
    <row r="668" spans="1:9" ht="20.399999999999999">
      <c r="A668" s="323"/>
      <c r="B668" s="107"/>
      <c r="C668" s="107"/>
      <c r="D668" s="107"/>
      <c r="E668" s="204"/>
      <c r="F668" s="107"/>
      <c r="G668" s="107"/>
      <c r="H668" s="107"/>
      <c r="I668" s="107"/>
    </row>
    <row r="669" spans="1:9" ht="20.399999999999999">
      <c r="A669" s="323"/>
      <c r="B669" s="107"/>
      <c r="C669" s="107"/>
      <c r="D669" s="107"/>
      <c r="E669" s="204"/>
      <c r="F669" s="107"/>
      <c r="G669" s="107"/>
      <c r="H669" s="107"/>
      <c r="I669" s="107"/>
    </row>
    <row r="670" spans="1:9" ht="20.399999999999999">
      <c r="A670" s="323"/>
      <c r="B670" s="107"/>
      <c r="C670" s="107"/>
      <c r="D670" s="107"/>
      <c r="E670" s="204"/>
      <c r="F670" s="107"/>
      <c r="G670" s="107"/>
      <c r="H670" s="107"/>
      <c r="I670" s="107"/>
    </row>
    <row r="671" spans="1:9" ht="20.399999999999999">
      <c r="A671" s="323"/>
      <c r="B671" s="107"/>
      <c r="C671" s="107"/>
      <c r="D671" s="107"/>
      <c r="E671" s="204"/>
      <c r="F671" s="107"/>
      <c r="G671" s="107"/>
      <c r="H671" s="107"/>
      <c r="I671" s="107"/>
    </row>
    <row r="672" spans="1:9" ht="20.399999999999999">
      <c r="A672" s="323"/>
      <c r="B672" s="107"/>
      <c r="C672" s="107"/>
      <c r="D672" s="107"/>
      <c r="E672" s="204"/>
      <c r="F672" s="107"/>
      <c r="G672" s="107"/>
      <c r="H672" s="107"/>
      <c r="I672" s="107"/>
    </row>
    <row r="673" spans="1:9" ht="20.399999999999999">
      <c r="A673" s="323"/>
      <c r="B673" s="107"/>
      <c r="C673" s="107"/>
      <c r="D673" s="107"/>
      <c r="E673" s="204"/>
      <c r="F673" s="107"/>
      <c r="G673" s="107"/>
      <c r="H673" s="107"/>
      <c r="I673" s="107"/>
    </row>
    <row r="674" spans="1:9" ht="20.399999999999999">
      <c r="A674" s="323"/>
      <c r="B674" s="107"/>
      <c r="C674" s="107"/>
      <c r="D674" s="107"/>
      <c r="E674" s="204"/>
      <c r="F674" s="107"/>
      <c r="G674" s="107"/>
      <c r="H674" s="107"/>
      <c r="I674" s="107"/>
    </row>
    <row r="675" spans="1:9" ht="20.399999999999999">
      <c r="A675" s="323"/>
      <c r="B675" s="107"/>
      <c r="C675" s="107"/>
      <c r="D675" s="107"/>
      <c r="E675" s="204"/>
      <c r="F675" s="107"/>
      <c r="G675" s="107"/>
      <c r="H675" s="107"/>
      <c r="I675" s="107"/>
    </row>
    <row r="676" spans="1:9" ht="20.399999999999999">
      <c r="A676" s="323"/>
      <c r="B676" s="107"/>
      <c r="C676" s="107"/>
      <c r="D676" s="107"/>
      <c r="E676" s="204"/>
      <c r="F676" s="107"/>
      <c r="G676" s="107"/>
      <c r="H676" s="107"/>
      <c r="I676" s="107"/>
    </row>
    <row r="677" spans="1:9" ht="20.399999999999999">
      <c r="A677" s="323"/>
      <c r="B677" s="107"/>
      <c r="C677" s="107"/>
      <c r="D677" s="107"/>
      <c r="E677" s="204"/>
      <c r="F677" s="107"/>
      <c r="G677" s="107"/>
      <c r="H677" s="107"/>
      <c r="I677" s="107"/>
    </row>
    <row r="678" spans="1:9" ht="20.399999999999999">
      <c r="A678" s="323"/>
      <c r="B678" s="107"/>
      <c r="C678" s="107"/>
      <c r="D678" s="107"/>
      <c r="E678" s="204"/>
      <c r="F678" s="107"/>
      <c r="G678" s="107"/>
      <c r="H678" s="107"/>
      <c r="I678" s="107"/>
    </row>
    <row r="679" spans="1:9" ht="20.399999999999999">
      <c r="A679" s="323"/>
      <c r="B679" s="107"/>
      <c r="C679" s="107"/>
      <c r="D679" s="107"/>
      <c r="E679" s="204"/>
      <c r="F679" s="107"/>
      <c r="G679" s="107"/>
      <c r="H679" s="107"/>
      <c r="I679" s="107"/>
    </row>
    <row r="680" spans="1:9" ht="20.399999999999999">
      <c r="A680" s="323"/>
      <c r="B680" s="107"/>
      <c r="C680" s="107"/>
      <c r="D680" s="107"/>
      <c r="E680" s="204"/>
      <c r="F680" s="107"/>
      <c r="G680" s="107"/>
      <c r="H680" s="107"/>
      <c r="I680" s="107"/>
    </row>
    <row r="681" spans="1:9" ht="20.399999999999999">
      <c r="A681" s="323"/>
      <c r="B681" s="107"/>
      <c r="C681" s="107"/>
      <c r="D681" s="107"/>
      <c r="E681" s="204"/>
      <c r="F681" s="107"/>
      <c r="G681" s="107"/>
      <c r="H681" s="107"/>
      <c r="I681" s="107"/>
    </row>
    <row r="682" spans="1:9" ht="20.399999999999999">
      <c r="A682" s="323"/>
      <c r="B682" s="107"/>
      <c r="C682" s="107"/>
      <c r="D682" s="107"/>
      <c r="E682" s="204"/>
      <c r="F682" s="107"/>
      <c r="G682" s="107"/>
      <c r="H682" s="107"/>
      <c r="I682" s="107"/>
    </row>
    <row r="683" spans="1:9" ht="20.399999999999999">
      <c r="A683" s="323"/>
      <c r="B683" s="107"/>
      <c r="C683" s="107"/>
      <c r="D683" s="107"/>
      <c r="E683" s="204"/>
      <c r="F683" s="107"/>
      <c r="G683" s="107"/>
      <c r="H683" s="107"/>
      <c r="I683" s="107"/>
    </row>
    <row r="684" spans="1:9" ht="20.399999999999999">
      <c r="A684" s="323"/>
      <c r="B684" s="107"/>
      <c r="C684" s="107"/>
      <c r="D684" s="107"/>
      <c r="E684" s="204"/>
      <c r="F684" s="107"/>
      <c r="G684" s="107"/>
      <c r="H684" s="107"/>
      <c r="I684" s="107"/>
    </row>
    <row r="685" spans="1:9" ht="20.399999999999999">
      <c r="A685" s="323"/>
      <c r="B685" s="107"/>
      <c r="C685" s="107"/>
      <c r="D685" s="107"/>
      <c r="E685" s="204"/>
      <c r="F685" s="107"/>
      <c r="G685" s="107"/>
      <c r="H685" s="107"/>
      <c r="I685" s="107"/>
    </row>
    <row r="686" spans="1:9" ht="20.399999999999999">
      <c r="A686" s="323"/>
      <c r="B686" s="107"/>
      <c r="C686" s="107"/>
      <c r="D686" s="107"/>
      <c r="E686" s="204"/>
      <c r="F686" s="107"/>
      <c r="G686" s="107"/>
      <c r="H686" s="107"/>
      <c r="I686" s="107"/>
    </row>
    <row r="687" spans="1:9" ht="20.399999999999999">
      <c r="A687" s="323"/>
      <c r="B687" s="107"/>
      <c r="C687" s="107"/>
      <c r="D687" s="107"/>
      <c r="E687" s="204"/>
      <c r="F687" s="107"/>
      <c r="G687" s="107"/>
      <c r="H687" s="107"/>
      <c r="I687" s="107"/>
    </row>
    <row r="688" spans="1:9" ht="20.399999999999999">
      <c r="A688" s="323"/>
      <c r="B688" s="107"/>
      <c r="C688" s="107"/>
      <c r="D688" s="107"/>
      <c r="E688" s="204"/>
      <c r="F688" s="107"/>
      <c r="G688" s="107"/>
      <c r="H688" s="107"/>
      <c r="I688" s="107"/>
    </row>
    <row r="689" spans="1:9" ht="20.399999999999999">
      <c r="A689" s="323"/>
      <c r="B689" s="107"/>
      <c r="C689" s="107"/>
      <c r="D689" s="107"/>
      <c r="E689" s="204"/>
      <c r="F689" s="107"/>
      <c r="G689" s="107"/>
      <c r="H689" s="107"/>
      <c r="I689" s="107"/>
    </row>
    <row r="690" spans="1:9" ht="20.399999999999999">
      <c r="A690" s="323"/>
      <c r="B690" s="107"/>
      <c r="C690" s="107"/>
      <c r="D690" s="107"/>
      <c r="E690" s="204"/>
      <c r="F690" s="107"/>
      <c r="G690" s="107"/>
      <c r="H690" s="107"/>
      <c r="I690" s="107"/>
    </row>
    <row r="691" spans="1:9" ht="20.399999999999999">
      <c r="A691" s="323"/>
      <c r="B691" s="107"/>
      <c r="C691" s="107"/>
      <c r="D691" s="107"/>
      <c r="E691" s="204"/>
      <c r="F691" s="107"/>
      <c r="G691" s="107"/>
      <c r="H691" s="107"/>
      <c r="I691" s="107"/>
    </row>
    <row r="692" spans="1:9" ht="20.399999999999999">
      <c r="A692" s="323"/>
      <c r="B692" s="107"/>
      <c r="C692" s="107"/>
      <c r="D692" s="107"/>
      <c r="E692" s="204"/>
      <c r="F692" s="107"/>
      <c r="G692" s="107"/>
      <c r="H692" s="107"/>
      <c r="I692" s="107"/>
    </row>
    <row r="693" spans="1:9" ht="20.399999999999999">
      <c r="A693" s="323"/>
      <c r="B693" s="107"/>
      <c r="C693" s="107"/>
      <c r="D693" s="107"/>
      <c r="E693" s="204"/>
      <c r="F693" s="107"/>
      <c r="G693" s="107"/>
      <c r="H693" s="107"/>
      <c r="I693" s="107"/>
    </row>
    <row r="694" spans="1:9" ht="20.399999999999999">
      <c r="A694" s="323"/>
      <c r="B694" s="107"/>
      <c r="C694" s="107"/>
      <c r="D694" s="107"/>
      <c r="E694" s="204"/>
      <c r="F694" s="107"/>
      <c r="G694" s="107"/>
      <c r="H694" s="107"/>
      <c r="I694" s="107"/>
    </row>
    <row r="695" spans="1:9" ht="20.399999999999999">
      <c r="A695" s="323"/>
      <c r="B695" s="107"/>
      <c r="C695" s="107"/>
      <c r="D695" s="107"/>
      <c r="E695" s="204"/>
      <c r="F695" s="107"/>
      <c r="G695" s="107"/>
      <c r="H695" s="107"/>
      <c r="I695" s="107"/>
    </row>
    <row r="696" spans="1:9" ht="20.399999999999999">
      <c r="A696" s="323"/>
      <c r="B696" s="107"/>
      <c r="C696" s="107"/>
      <c r="D696" s="107"/>
      <c r="E696" s="204"/>
      <c r="F696" s="107"/>
      <c r="G696" s="107"/>
      <c r="H696" s="107"/>
      <c r="I696" s="107"/>
    </row>
    <row r="697" spans="1:9" ht="20.399999999999999">
      <c r="A697" s="323"/>
      <c r="B697" s="107"/>
      <c r="C697" s="107"/>
      <c r="D697" s="107"/>
      <c r="E697" s="204"/>
      <c r="F697" s="107"/>
      <c r="G697" s="107"/>
      <c r="H697" s="107"/>
      <c r="I697" s="107"/>
    </row>
    <row r="698" spans="1:9" ht="20.399999999999999">
      <c r="A698" s="323"/>
      <c r="B698" s="107"/>
      <c r="C698" s="107"/>
      <c r="D698" s="107"/>
      <c r="E698" s="204"/>
      <c r="F698" s="107"/>
      <c r="G698" s="107"/>
      <c r="H698" s="107"/>
      <c r="I698" s="107"/>
    </row>
    <row r="699" spans="1:9" ht="20.399999999999999">
      <c r="A699" s="323"/>
      <c r="B699" s="107"/>
      <c r="C699" s="107"/>
      <c r="D699" s="107"/>
      <c r="E699" s="204"/>
      <c r="F699" s="107"/>
      <c r="G699" s="107"/>
      <c r="H699" s="107"/>
      <c r="I699" s="107"/>
    </row>
    <row r="700" spans="1:9" ht="20.399999999999999">
      <c r="A700" s="323"/>
      <c r="B700" s="107"/>
      <c r="C700" s="107"/>
      <c r="D700" s="107"/>
      <c r="E700" s="204"/>
      <c r="F700" s="107"/>
      <c r="G700" s="107"/>
      <c r="H700" s="107"/>
      <c r="I700" s="107"/>
    </row>
    <row r="701" spans="1:9" ht="20.399999999999999">
      <c r="A701" s="323"/>
      <c r="B701" s="107"/>
      <c r="C701" s="107"/>
      <c r="D701" s="107"/>
      <c r="E701" s="204"/>
      <c r="F701" s="107"/>
      <c r="G701" s="107"/>
      <c r="H701" s="107"/>
      <c r="I701" s="107"/>
    </row>
    <row r="702" spans="1:9" ht="20.399999999999999">
      <c r="A702" s="323"/>
      <c r="B702" s="107"/>
      <c r="C702" s="107"/>
      <c r="D702" s="107"/>
      <c r="E702" s="204"/>
      <c r="F702" s="107"/>
      <c r="G702" s="107"/>
      <c r="H702" s="107"/>
      <c r="I702" s="107"/>
    </row>
    <row r="703" spans="1:9" ht="20.399999999999999">
      <c r="A703" s="323"/>
      <c r="B703" s="107"/>
      <c r="C703" s="107"/>
      <c r="D703" s="107"/>
      <c r="E703" s="204"/>
      <c r="F703" s="107"/>
      <c r="G703" s="107"/>
      <c r="H703" s="107"/>
      <c r="I703" s="107"/>
    </row>
    <row r="704" spans="1:9" ht="20.399999999999999">
      <c r="A704" s="323"/>
      <c r="B704" s="107"/>
      <c r="C704" s="107"/>
      <c r="D704" s="107"/>
      <c r="E704" s="204"/>
      <c r="F704" s="107"/>
      <c r="G704" s="107"/>
      <c r="H704" s="107"/>
      <c r="I704" s="107"/>
    </row>
    <row r="705" spans="1:9" ht="20.399999999999999">
      <c r="A705" s="323"/>
      <c r="B705" s="107"/>
      <c r="C705" s="107"/>
      <c r="D705" s="107"/>
      <c r="E705" s="204"/>
      <c r="F705" s="107"/>
      <c r="G705" s="107"/>
      <c r="H705" s="107"/>
      <c r="I705" s="107"/>
    </row>
    <row r="706" spans="1:9" ht="20.399999999999999">
      <c r="A706" s="323"/>
      <c r="B706" s="107"/>
      <c r="C706" s="107"/>
      <c r="D706" s="107"/>
      <c r="E706" s="204"/>
      <c r="F706" s="107"/>
      <c r="G706" s="107"/>
      <c r="H706" s="107"/>
      <c r="I706" s="107"/>
    </row>
    <row r="707" spans="1:9" ht="20.399999999999999">
      <c r="A707" s="323"/>
      <c r="B707" s="107"/>
      <c r="C707" s="107"/>
      <c r="D707" s="107"/>
      <c r="E707" s="204"/>
      <c r="F707" s="107"/>
      <c r="G707" s="107"/>
      <c r="H707" s="107"/>
      <c r="I707" s="107"/>
    </row>
    <row r="708" spans="1:9" ht="20.399999999999999">
      <c r="A708" s="323"/>
      <c r="B708" s="107"/>
      <c r="C708" s="107"/>
      <c r="D708" s="107"/>
      <c r="E708" s="204"/>
      <c r="F708" s="107"/>
      <c r="G708" s="107"/>
      <c r="H708" s="107"/>
      <c r="I708" s="107"/>
    </row>
    <row r="709" spans="1:9" ht="20.399999999999999">
      <c r="A709" s="323"/>
      <c r="B709" s="107"/>
      <c r="C709" s="107"/>
      <c r="D709" s="107"/>
      <c r="E709" s="204"/>
      <c r="F709" s="107"/>
      <c r="G709" s="107"/>
      <c r="H709" s="107"/>
      <c r="I709" s="107"/>
    </row>
    <row r="710" spans="1:9" ht="20.399999999999999">
      <c r="A710" s="323"/>
      <c r="B710" s="107"/>
      <c r="C710" s="107"/>
      <c r="D710" s="107"/>
      <c r="E710" s="204"/>
      <c r="F710" s="107"/>
      <c r="G710" s="107"/>
      <c r="H710" s="107"/>
      <c r="I710" s="107"/>
    </row>
    <row r="711" spans="1:9" ht="20.399999999999999">
      <c r="A711" s="323"/>
      <c r="B711" s="107"/>
      <c r="C711" s="107"/>
      <c r="D711" s="107"/>
      <c r="E711" s="204"/>
      <c r="F711" s="107"/>
      <c r="G711" s="107"/>
      <c r="H711" s="107"/>
      <c r="I711" s="107"/>
    </row>
    <row r="712" spans="1:9" ht="20.399999999999999">
      <c r="A712" s="323"/>
      <c r="B712" s="107"/>
      <c r="C712" s="107"/>
      <c r="D712" s="107"/>
      <c r="E712" s="204"/>
      <c r="F712" s="107"/>
      <c r="G712" s="107"/>
      <c r="H712" s="107"/>
      <c r="I712" s="107"/>
    </row>
    <row r="713" spans="1:9" ht="20.399999999999999">
      <c r="A713" s="323"/>
      <c r="B713" s="107"/>
      <c r="C713" s="107"/>
      <c r="D713" s="107"/>
      <c r="E713" s="204"/>
      <c r="F713" s="107"/>
      <c r="G713" s="107"/>
      <c r="H713" s="107"/>
      <c r="I713" s="107"/>
    </row>
    <row r="714" spans="1:9" ht="20.399999999999999">
      <c r="A714" s="323"/>
      <c r="B714" s="107"/>
      <c r="C714" s="107"/>
      <c r="D714" s="107"/>
      <c r="E714" s="204"/>
      <c r="F714" s="107"/>
      <c r="G714" s="107"/>
      <c r="H714" s="107"/>
      <c r="I714" s="107"/>
    </row>
    <row r="715" spans="1:9" ht="20.399999999999999">
      <c r="A715" s="323"/>
      <c r="B715" s="107"/>
      <c r="C715" s="107"/>
      <c r="D715" s="107"/>
      <c r="E715" s="204"/>
      <c r="F715" s="107"/>
      <c r="G715" s="107"/>
      <c r="H715" s="107"/>
      <c r="I715" s="107"/>
    </row>
    <row r="716" spans="1:9" ht="20.399999999999999">
      <c r="A716" s="323"/>
      <c r="B716" s="107"/>
      <c r="C716" s="107"/>
      <c r="D716" s="107"/>
      <c r="E716" s="204"/>
      <c r="F716" s="107"/>
      <c r="G716" s="107"/>
      <c r="H716" s="107"/>
      <c r="I716" s="107"/>
    </row>
    <row r="717" spans="1:9" ht="20.399999999999999">
      <c r="A717" s="323"/>
      <c r="B717" s="107"/>
      <c r="C717" s="107"/>
      <c r="D717" s="107"/>
      <c r="E717" s="204"/>
      <c r="F717" s="107"/>
      <c r="G717" s="107"/>
      <c r="H717" s="107"/>
      <c r="I717" s="107"/>
    </row>
    <row r="718" spans="1:9" ht="20.399999999999999">
      <c r="A718" s="323"/>
      <c r="B718" s="107"/>
      <c r="C718" s="107"/>
      <c r="D718" s="107"/>
      <c r="E718" s="204"/>
      <c r="F718" s="107"/>
      <c r="G718" s="107"/>
      <c r="H718" s="107"/>
      <c r="I718" s="107"/>
    </row>
    <row r="719" spans="1:9" ht="20.399999999999999">
      <c r="A719" s="323"/>
      <c r="B719" s="107"/>
      <c r="C719" s="107"/>
      <c r="D719" s="107"/>
      <c r="E719" s="204"/>
      <c r="F719" s="107"/>
      <c r="G719" s="107"/>
      <c r="H719" s="107"/>
      <c r="I719" s="107"/>
    </row>
    <row r="720" spans="1:9" ht="20.399999999999999">
      <c r="A720" s="323"/>
      <c r="B720" s="107"/>
      <c r="C720" s="107"/>
      <c r="D720" s="107"/>
      <c r="E720" s="204"/>
      <c r="F720" s="107"/>
      <c r="G720" s="107"/>
      <c r="H720" s="107"/>
      <c r="I720" s="107"/>
    </row>
    <row r="721" spans="1:9" ht="20.399999999999999">
      <c r="A721" s="323"/>
      <c r="B721" s="107"/>
      <c r="C721" s="107"/>
      <c r="D721" s="107"/>
      <c r="E721" s="204"/>
      <c r="F721" s="107"/>
      <c r="G721" s="107"/>
      <c r="H721" s="107"/>
      <c r="I721" s="107"/>
    </row>
    <row r="722" spans="1:9" ht="20.399999999999999">
      <c r="A722" s="323"/>
      <c r="B722" s="107"/>
      <c r="C722" s="107"/>
      <c r="D722" s="107"/>
      <c r="E722" s="204"/>
      <c r="F722" s="107"/>
      <c r="G722" s="107"/>
      <c r="H722" s="107"/>
      <c r="I722" s="107"/>
    </row>
    <row r="723" spans="1:9" ht="20.399999999999999">
      <c r="A723" s="323"/>
      <c r="B723" s="107"/>
      <c r="C723" s="107"/>
      <c r="D723" s="107"/>
      <c r="E723" s="204"/>
      <c r="F723" s="107"/>
      <c r="G723" s="107"/>
      <c r="H723" s="107"/>
      <c r="I723" s="107"/>
    </row>
    <row r="724" spans="1:9" ht="20.399999999999999">
      <c r="A724" s="323"/>
      <c r="B724" s="107"/>
      <c r="C724" s="107"/>
      <c r="D724" s="107"/>
      <c r="E724" s="204"/>
      <c r="F724" s="107"/>
      <c r="G724" s="107"/>
      <c r="H724" s="107"/>
      <c r="I724" s="107"/>
    </row>
    <row r="725" spans="1:9" ht="20.399999999999999">
      <c r="A725" s="323"/>
      <c r="B725" s="107"/>
      <c r="C725" s="107"/>
      <c r="D725" s="107"/>
      <c r="E725" s="204"/>
      <c r="F725" s="107"/>
      <c r="G725" s="107"/>
      <c r="H725" s="107"/>
      <c r="I725" s="107"/>
    </row>
    <row r="726" spans="1:9" ht="20.399999999999999">
      <c r="A726" s="323"/>
      <c r="B726" s="107"/>
      <c r="C726" s="107"/>
      <c r="D726" s="107"/>
      <c r="E726" s="204"/>
      <c r="F726" s="107"/>
      <c r="G726" s="107"/>
      <c r="H726" s="107"/>
      <c r="I726" s="107"/>
    </row>
    <row r="727" spans="1:9" ht="20.399999999999999">
      <c r="A727" s="323"/>
      <c r="B727" s="107"/>
      <c r="C727" s="107"/>
      <c r="D727" s="107"/>
      <c r="E727" s="204"/>
      <c r="F727" s="107"/>
      <c r="G727" s="107"/>
      <c r="H727" s="107"/>
      <c r="I727" s="107"/>
    </row>
    <row r="728" spans="1:9" ht="20.399999999999999">
      <c r="A728" s="323"/>
      <c r="B728" s="107"/>
      <c r="C728" s="107"/>
      <c r="D728" s="107"/>
      <c r="E728" s="204"/>
      <c r="F728" s="107"/>
      <c r="G728" s="107"/>
      <c r="H728" s="107"/>
      <c r="I728" s="107"/>
    </row>
    <row r="729" spans="1:9" ht="20.399999999999999">
      <c r="A729" s="323"/>
      <c r="B729" s="107"/>
      <c r="C729" s="107"/>
      <c r="D729" s="107"/>
      <c r="E729" s="204"/>
      <c r="F729" s="107"/>
      <c r="G729" s="107"/>
      <c r="H729" s="107"/>
      <c r="I729" s="107"/>
    </row>
    <row r="730" spans="1:9" ht="20.399999999999999">
      <c r="A730" s="323"/>
      <c r="B730" s="107"/>
      <c r="C730" s="107"/>
      <c r="D730" s="107"/>
      <c r="E730" s="204"/>
      <c r="F730" s="107"/>
      <c r="G730" s="107"/>
      <c r="H730" s="107"/>
      <c r="I730" s="107"/>
    </row>
    <row r="731" spans="1:9" ht="20.399999999999999">
      <c r="A731" s="323"/>
      <c r="B731" s="107"/>
      <c r="C731" s="107"/>
      <c r="D731" s="107"/>
      <c r="E731" s="204"/>
      <c r="F731" s="107"/>
      <c r="G731" s="107"/>
      <c r="H731" s="107"/>
      <c r="I731" s="107"/>
    </row>
    <row r="732" spans="1:9" ht="20.399999999999999">
      <c r="A732" s="323"/>
      <c r="B732" s="107"/>
      <c r="C732" s="107"/>
      <c r="D732" s="107"/>
      <c r="E732" s="204"/>
      <c r="F732" s="107"/>
      <c r="G732" s="107"/>
      <c r="H732" s="107"/>
      <c r="I732" s="107"/>
    </row>
    <row r="733" spans="1:9" ht="20.399999999999999">
      <c r="A733" s="323"/>
      <c r="B733" s="107"/>
      <c r="C733" s="107"/>
      <c r="D733" s="107"/>
      <c r="E733" s="204"/>
      <c r="F733" s="107"/>
      <c r="G733" s="107"/>
      <c r="H733" s="107"/>
      <c r="I733" s="107"/>
    </row>
    <row r="734" spans="1:9" ht="20.399999999999999">
      <c r="A734" s="323"/>
      <c r="B734" s="107"/>
      <c r="C734" s="107"/>
      <c r="D734" s="107"/>
      <c r="E734" s="204"/>
      <c r="F734" s="107"/>
      <c r="G734" s="107"/>
      <c r="H734" s="107"/>
      <c r="I734" s="107"/>
    </row>
    <row r="735" spans="1:9" ht="20.399999999999999">
      <c r="A735" s="323"/>
      <c r="B735" s="107"/>
      <c r="C735" s="107"/>
      <c r="D735" s="107"/>
      <c r="E735" s="204"/>
      <c r="F735" s="107"/>
      <c r="G735" s="107"/>
      <c r="H735" s="107"/>
      <c r="I735" s="107"/>
    </row>
    <row r="736" spans="1:9" ht="20.399999999999999">
      <c r="A736" s="323"/>
      <c r="B736" s="107"/>
      <c r="C736" s="107"/>
      <c r="D736" s="107"/>
      <c r="E736" s="204"/>
      <c r="F736" s="107"/>
      <c r="G736" s="107"/>
      <c r="H736" s="107"/>
      <c r="I736" s="107"/>
    </row>
    <row r="737" spans="1:9" ht="20.399999999999999">
      <c r="A737" s="323"/>
      <c r="B737" s="107"/>
      <c r="C737" s="107"/>
      <c r="D737" s="107"/>
      <c r="E737" s="204"/>
      <c r="F737" s="107"/>
      <c r="G737" s="107"/>
      <c r="H737" s="107"/>
      <c r="I737" s="107"/>
    </row>
    <row r="738" spans="1:9" ht="20.399999999999999">
      <c r="A738" s="323"/>
      <c r="B738" s="107"/>
      <c r="C738" s="107"/>
      <c r="D738" s="107"/>
      <c r="E738" s="204"/>
      <c r="F738" s="107"/>
      <c r="G738" s="107"/>
      <c r="H738" s="107"/>
      <c r="I738" s="107"/>
    </row>
    <row r="739" spans="1:9" ht="20.399999999999999">
      <c r="A739" s="323"/>
      <c r="B739" s="107"/>
      <c r="C739" s="107"/>
      <c r="D739" s="107"/>
      <c r="E739" s="204"/>
      <c r="F739" s="107"/>
      <c r="G739" s="107"/>
      <c r="H739" s="107"/>
      <c r="I739" s="107"/>
    </row>
    <row r="740" spans="1:9" ht="20.399999999999999">
      <c r="A740" s="323"/>
      <c r="B740" s="107"/>
      <c r="C740" s="107"/>
      <c r="D740" s="107"/>
      <c r="E740" s="204"/>
      <c r="F740" s="107"/>
      <c r="G740" s="107"/>
      <c r="H740" s="107"/>
      <c r="I740" s="107"/>
    </row>
    <row r="741" spans="1:9" ht="20.399999999999999">
      <c r="A741" s="323"/>
      <c r="B741" s="107"/>
      <c r="C741" s="107"/>
      <c r="D741" s="107"/>
      <c r="E741" s="204"/>
      <c r="F741" s="107"/>
      <c r="G741" s="107"/>
      <c r="H741" s="107"/>
      <c r="I741" s="107"/>
    </row>
    <row r="742" spans="1:9" ht="20.399999999999999">
      <c r="A742" s="323"/>
      <c r="B742" s="107"/>
      <c r="C742" s="107"/>
      <c r="D742" s="107"/>
      <c r="E742" s="204"/>
      <c r="F742" s="107"/>
      <c r="G742" s="107"/>
      <c r="H742" s="107"/>
      <c r="I742" s="107"/>
    </row>
    <row r="743" spans="1:9" ht="20.399999999999999">
      <c r="A743" s="323"/>
      <c r="B743" s="107"/>
      <c r="C743" s="107"/>
      <c r="D743" s="107"/>
      <c r="E743" s="204"/>
      <c r="F743" s="107"/>
      <c r="G743" s="107"/>
      <c r="H743" s="107"/>
      <c r="I743" s="107"/>
    </row>
    <row r="744" spans="1:9" ht="20.399999999999999">
      <c r="A744" s="323"/>
      <c r="B744" s="107"/>
      <c r="C744" s="107"/>
      <c r="D744" s="107"/>
      <c r="E744" s="204"/>
      <c r="F744" s="107"/>
      <c r="G744" s="107"/>
      <c r="H744" s="107"/>
      <c r="I744" s="107"/>
    </row>
    <row r="745" spans="1:9" ht="20.399999999999999">
      <c r="A745" s="323"/>
      <c r="B745" s="107"/>
      <c r="C745" s="107"/>
      <c r="D745" s="107"/>
      <c r="E745" s="204"/>
      <c r="F745" s="107"/>
      <c r="G745" s="107"/>
      <c r="H745" s="107"/>
      <c r="I745" s="107"/>
    </row>
    <row r="746" spans="1:9" ht="20.399999999999999">
      <c r="A746" s="323"/>
      <c r="B746" s="107"/>
      <c r="C746" s="107"/>
      <c r="D746" s="107"/>
      <c r="E746" s="204"/>
      <c r="F746" s="107"/>
      <c r="G746" s="107"/>
      <c r="H746" s="107"/>
      <c r="I746" s="107"/>
    </row>
    <row r="747" spans="1:9" ht="20.399999999999999">
      <c r="A747" s="323"/>
      <c r="B747" s="107"/>
      <c r="C747" s="107"/>
      <c r="D747" s="107"/>
      <c r="E747" s="204"/>
      <c r="F747" s="107"/>
      <c r="G747" s="107"/>
      <c r="H747" s="107"/>
      <c r="I747" s="107"/>
    </row>
    <row r="748" spans="1:9" ht="20.399999999999999">
      <c r="A748" s="323"/>
      <c r="B748" s="107"/>
      <c r="C748" s="107"/>
      <c r="D748" s="107"/>
      <c r="E748" s="204"/>
      <c r="F748" s="107"/>
      <c r="G748" s="107"/>
      <c r="H748" s="107"/>
      <c r="I748" s="107"/>
    </row>
    <row r="749" spans="1:9" ht="20.399999999999999">
      <c r="A749" s="323"/>
      <c r="B749" s="107"/>
      <c r="C749" s="107"/>
      <c r="D749" s="107"/>
      <c r="E749" s="204"/>
      <c r="F749" s="107"/>
      <c r="G749" s="107"/>
      <c r="H749" s="107"/>
      <c r="I749" s="107"/>
    </row>
    <row r="750" spans="1:9" ht="20.399999999999999">
      <c r="A750" s="323"/>
      <c r="B750" s="107"/>
      <c r="C750" s="107"/>
      <c r="D750" s="107"/>
      <c r="E750" s="204"/>
      <c r="F750" s="107"/>
      <c r="G750" s="107"/>
      <c r="H750" s="107"/>
      <c r="I750" s="107"/>
    </row>
    <row r="751" spans="1:9" ht="20.399999999999999">
      <c r="A751" s="323"/>
      <c r="B751" s="107"/>
      <c r="C751" s="107"/>
      <c r="D751" s="107"/>
      <c r="E751" s="204"/>
      <c r="F751" s="107"/>
      <c r="G751" s="107"/>
      <c r="H751" s="107"/>
      <c r="I751" s="107"/>
    </row>
    <row r="752" spans="1:9" ht="20.399999999999999">
      <c r="A752" s="323"/>
      <c r="B752" s="107"/>
      <c r="C752" s="107"/>
      <c r="D752" s="107"/>
      <c r="E752" s="204"/>
      <c r="F752" s="107"/>
      <c r="G752" s="107"/>
      <c r="H752" s="107"/>
      <c r="I752" s="107"/>
    </row>
    <row r="753" spans="1:9" ht="20.399999999999999">
      <c r="A753" s="323"/>
      <c r="B753" s="107"/>
      <c r="C753" s="107"/>
      <c r="D753" s="107"/>
      <c r="E753" s="204"/>
      <c r="F753" s="107"/>
      <c r="G753" s="107"/>
      <c r="H753" s="107"/>
      <c r="I753" s="107"/>
    </row>
    <row r="754" spans="1:9" ht="20.399999999999999">
      <c r="A754" s="323"/>
      <c r="B754" s="107"/>
      <c r="C754" s="107"/>
      <c r="D754" s="107"/>
      <c r="E754" s="204"/>
      <c r="F754" s="107"/>
      <c r="G754" s="107"/>
      <c r="H754" s="107"/>
      <c r="I754" s="107"/>
    </row>
    <row r="755" spans="1:9" ht="20.399999999999999">
      <c r="A755" s="323"/>
      <c r="B755" s="107"/>
      <c r="C755" s="107"/>
      <c r="D755" s="107"/>
      <c r="E755" s="204"/>
      <c r="F755" s="107"/>
      <c r="G755" s="107"/>
      <c r="H755" s="107"/>
      <c r="I755" s="107"/>
    </row>
    <row r="756" spans="1:9" ht="20.399999999999999">
      <c r="A756" s="323"/>
      <c r="B756" s="107"/>
      <c r="C756" s="107"/>
      <c r="D756" s="107"/>
      <c r="E756" s="204"/>
      <c r="F756" s="107"/>
      <c r="G756" s="107"/>
      <c r="H756" s="107"/>
      <c r="I756" s="107"/>
    </row>
    <row r="757" spans="1:9" ht="20.399999999999999">
      <c r="A757" s="323"/>
      <c r="B757" s="107"/>
      <c r="C757" s="107"/>
      <c r="D757" s="107"/>
      <c r="E757" s="204"/>
      <c r="F757" s="107"/>
      <c r="G757" s="107"/>
      <c r="H757" s="107"/>
      <c r="I757" s="107"/>
    </row>
    <row r="758" spans="1:9" ht="20.399999999999999">
      <c r="A758" s="323"/>
      <c r="B758" s="107"/>
      <c r="C758" s="107"/>
      <c r="D758" s="107"/>
      <c r="E758" s="204"/>
      <c r="F758" s="107"/>
      <c r="G758" s="107"/>
      <c r="H758" s="107"/>
      <c r="I758" s="107"/>
    </row>
    <row r="759" spans="1:9" ht="20.399999999999999">
      <c r="A759" s="323"/>
      <c r="B759" s="107"/>
      <c r="C759" s="107"/>
      <c r="D759" s="107"/>
      <c r="E759" s="204"/>
      <c r="F759" s="107"/>
      <c r="G759" s="107"/>
      <c r="H759" s="107"/>
      <c r="I759" s="107"/>
    </row>
    <row r="760" spans="1:9" ht="20.399999999999999">
      <c r="A760" s="323"/>
      <c r="B760" s="107"/>
      <c r="C760" s="107"/>
      <c r="D760" s="107"/>
      <c r="E760" s="204"/>
      <c r="F760" s="107"/>
      <c r="G760" s="107"/>
      <c r="H760" s="107"/>
      <c r="I760" s="107"/>
    </row>
    <row r="761" spans="1:9" ht="20.399999999999999">
      <c r="A761" s="323"/>
      <c r="B761" s="107"/>
      <c r="C761" s="107"/>
      <c r="D761" s="107"/>
      <c r="E761" s="204"/>
      <c r="F761" s="107"/>
      <c r="G761" s="107"/>
      <c r="H761" s="107"/>
      <c r="I761" s="107"/>
    </row>
    <row r="762" spans="1:9" ht="20.399999999999999">
      <c r="A762" s="323"/>
      <c r="B762" s="107"/>
      <c r="C762" s="107"/>
      <c r="D762" s="107"/>
      <c r="E762" s="204"/>
      <c r="F762" s="107"/>
      <c r="G762" s="107"/>
      <c r="H762" s="107"/>
      <c r="I762" s="107"/>
    </row>
    <row r="763" spans="1:9" ht="20.399999999999999">
      <c r="A763" s="323"/>
      <c r="B763" s="107"/>
      <c r="C763" s="107"/>
      <c r="D763" s="107"/>
      <c r="E763" s="204"/>
      <c r="F763" s="107"/>
      <c r="G763" s="107"/>
      <c r="H763" s="107"/>
      <c r="I763" s="107"/>
    </row>
    <row r="764" spans="1:9" ht="20.399999999999999">
      <c r="A764" s="323"/>
      <c r="B764" s="107"/>
      <c r="C764" s="107"/>
      <c r="D764" s="107"/>
      <c r="E764" s="204"/>
      <c r="F764" s="107"/>
      <c r="G764" s="107"/>
      <c r="H764" s="107"/>
      <c r="I764" s="107"/>
    </row>
    <row r="765" spans="1:9" ht="20.399999999999999">
      <c r="A765" s="323"/>
      <c r="B765" s="107"/>
      <c r="C765" s="107"/>
      <c r="D765" s="107"/>
      <c r="E765" s="204"/>
      <c r="F765" s="107"/>
      <c r="G765" s="107"/>
      <c r="H765" s="107"/>
      <c r="I765" s="107"/>
    </row>
    <row r="766" spans="1:9" ht="20.399999999999999">
      <c r="A766" s="323"/>
      <c r="B766" s="107"/>
      <c r="C766" s="107"/>
      <c r="D766" s="107"/>
      <c r="E766" s="204"/>
      <c r="F766" s="107"/>
      <c r="G766" s="107"/>
      <c r="H766" s="107"/>
      <c r="I766" s="107"/>
    </row>
    <row r="767" spans="1:9" ht="20.399999999999999">
      <c r="A767" s="323"/>
      <c r="B767" s="107"/>
      <c r="C767" s="107"/>
      <c r="D767" s="107"/>
      <c r="E767" s="204"/>
      <c r="F767" s="107"/>
      <c r="G767" s="107"/>
      <c r="H767" s="107"/>
      <c r="I767" s="107"/>
    </row>
    <row r="768" spans="1:9" ht="20.399999999999999">
      <c r="A768" s="323"/>
      <c r="B768" s="107"/>
      <c r="C768" s="107"/>
      <c r="D768" s="107"/>
      <c r="E768" s="204"/>
      <c r="F768" s="107"/>
      <c r="G768" s="107"/>
      <c r="H768" s="107"/>
      <c r="I768" s="107"/>
    </row>
    <row r="769" spans="1:9" ht="20.399999999999999">
      <c r="A769" s="323"/>
      <c r="B769" s="107"/>
      <c r="C769" s="107"/>
      <c r="D769" s="107"/>
      <c r="E769" s="204"/>
      <c r="F769" s="107"/>
      <c r="G769" s="107"/>
      <c r="H769" s="107"/>
      <c r="I769" s="107"/>
    </row>
    <row r="770" spans="1:9" ht="20.399999999999999">
      <c r="A770" s="323"/>
      <c r="B770" s="107"/>
      <c r="C770" s="107"/>
      <c r="D770" s="107"/>
      <c r="E770" s="204"/>
      <c r="F770" s="107"/>
      <c r="G770" s="107"/>
      <c r="H770" s="107"/>
      <c r="I770" s="107"/>
    </row>
    <row r="771" spans="1:9" ht="20.399999999999999">
      <c r="A771" s="323"/>
      <c r="B771" s="107"/>
      <c r="C771" s="107"/>
      <c r="D771" s="107"/>
      <c r="E771" s="204"/>
      <c r="F771" s="107"/>
      <c r="G771" s="107"/>
      <c r="H771" s="107"/>
      <c r="I771" s="107"/>
    </row>
    <row r="772" spans="1:9" ht="20.399999999999999">
      <c r="A772" s="323"/>
      <c r="B772" s="107"/>
      <c r="C772" s="107"/>
      <c r="D772" s="107"/>
      <c r="E772" s="204"/>
      <c r="F772" s="107"/>
      <c r="G772" s="107"/>
      <c r="H772" s="107"/>
      <c r="I772" s="107"/>
    </row>
    <row r="773" spans="1:9" ht="20.399999999999999">
      <c r="A773" s="323"/>
      <c r="B773" s="107"/>
      <c r="C773" s="107"/>
      <c r="D773" s="107"/>
      <c r="E773" s="204"/>
      <c r="F773" s="107"/>
      <c r="G773" s="107"/>
      <c r="H773" s="107"/>
      <c r="I773" s="107"/>
    </row>
    <row r="774" spans="1:9" ht="20.399999999999999">
      <c r="A774" s="323"/>
      <c r="B774" s="107"/>
      <c r="C774" s="107"/>
      <c r="D774" s="107"/>
      <c r="E774" s="204"/>
      <c r="F774" s="107"/>
      <c r="G774" s="107"/>
      <c r="H774" s="107"/>
      <c r="I774" s="107"/>
    </row>
    <row r="775" spans="1:9" ht="20.399999999999999">
      <c r="A775" s="323"/>
      <c r="B775" s="107"/>
      <c r="C775" s="107"/>
      <c r="D775" s="107"/>
      <c r="E775" s="204"/>
      <c r="F775" s="107"/>
      <c r="G775" s="107"/>
      <c r="H775" s="107"/>
      <c r="I775" s="107"/>
    </row>
    <row r="776" spans="1:9" ht="20.399999999999999">
      <c r="A776" s="323"/>
      <c r="B776" s="107"/>
      <c r="C776" s="107"/>
      <c r="D776" s="107"/>
      <c r="E776" s="204"/>
      <c r="F776" s="107"/>
      <c r="G776" s="107"/>
      <c r="H776" s="107"/>
      <c r="I776" s="107"/>
    </row>
    <row r="777" spans="1:9" ht="20.399999999999999">
      <c r="A777" s="323"/>
      <c r="B777" s="107"/>
      <c r="C777" s="107"/>
      <c r="D777" s="107"/>
      <c r="E777" s="204"/>
      <c r="F777" s="107"/>
      <c r="G777" s="107"/>
      <c r="H777" s="107"/>
      <c r="I777" s="107"/>
    </row>
    <row r="778" spans="1:9" ht="20.399999999999999">
      <c r="A778" s="323"/>
      <c r="B778" s="107"/>
      <c r="C778" s="107"/>
      <c r="D778" s="107"/>
      <c r="E778" s="204"/>
      <c r="F778" s="107"/>
      <c r="G778" s="107"/>
      <c r="H778" s="107"/>
      <c r="I778" s="107"/>
    </row>
    <row r="779" spans="1:9" ht="20.399999999999999">
      <c r="A779" s="323"/>
      <c r="B779" s="107"/>
      <c r="C779" s="107"/>
      <c r="D779" s="107"/>
      <c r="E779" s="204"/>
      <c r="F779" s="107"/>
      <c r="G779" s="107"/>
      <c r="H779" s="107"/>
      <c r="I779" s="107"/>
    </row>
    <row r="780" spans="1:9" ht="20.399999999999999">
      <c r="A780" s="323"/>
      <c r="B780" s="107"/>
      <c r="C780" s="107"/>
      <c r="D780" s="107"/>
      <c r="E780" s="204"/>
      <c r="F780" s="107"/>
      <c r="G780" s="107"/>
      <c r="H780" s="107"/>
      <c r="I780" s="107"/>
    </row>
    <row r="781" spans="1:9" ht="20.399999999999999">
      <c r="A781" s="323"/>
      <c r="B781" s="107"/>
      <c r="C781" s="107"/>
      <c r="D781" s="107"/>
      <c r="E781" s="204"/>
      <c r="F781" s="107"/>
      <c r="G781" s="107"/>
      <c r="H781" s="107"/>
      <c r="I781" s="107"/>
    </row>
    <row r="782" spans="1:9" ht="20.399999999999999">
      <c r="A782" s="323"/>
      <c r="B782" s="107"/>
      <c r="C782" s="107"/>
      <c r="D782" s="107"/>
      <c r="E782" s="204"/>
      <c r="F782" s="107"/>
      <c r="G782" s="107"/>
      <c r="H782" s="107"/>
      <c r="I782" s="107"/>
    </row>
    <row r="783" spans="1:9" ht="20.399999999999999">
      <c r="A783" s="323"/>
      <c r="B783" s="107"/>
      <c r="C783" s="107"/>
      <c r="D783" s="107"/>
      <c r="E783" s="204"/>
      <c r="F783" s="107"/>
      <c r="G783" s="107"/>
      <c r="H783" s="107"/>
      <c r="I783" s="107"/>
    </row>
    <row r="784" spans="1:9" ht="20.399999999999999">
      <c r="A784" s="323"/>
      <c r="B784" s="107"/>
      <c r="C784" s="107"/>
      <c r="D784" s="107"/>
      <c r="E784" s="204"/>
      <c r="F784" s="107"/>
      <c r="G784" s="107"/>
      <c r="H784" s="107"/>
      <c r="I784" s="107"/>
    </row>
    <row r="785" spans="1:9" ht="20.399999999999999">
      <c r="A785" s="323"/>
      <c r="B785" s="107"/>
      <c r="C785" s="107"/>
      <c r="D785" s="107"/>
      <c r="E785" s="204"/>
      <c r="F785" s="107"/>
      <c r="G785" s="107"/>
      <c r="H785" s="107"/>
      <c r="I785" s="107"/>
    </row>
    <row r="786" spans="1:9" ht="20.399999999999999">
      <c r="A786" s="323"/>
      <c r="B786" s="107"/>
      <c r="C786" s="107"/>
      <c r="D786" s="107"/>
      <c r="E786" s="204"/>
      <c r="F786" s="107"/>
      <c r="G786" s="107"/>
      <c r="H786" s="107"/>
      <c r="I786" s="107"/>
    </row>
    <row r="787" spans="1:9" ht="20.399999999999999">
      <c r="A787" s="323"/>
      <c r="B787" s="107"/>
      <c r="C787" s="107"/>
      <c r="D787" s="107"/>
      <c r="E787" s="204"/>
      <c r="F787" s="107"/>
      <c r="G787" s="107"/>
      <c r="H787" s="107"/>
      <c r="I787" s="107"/>
    </row>
    <row r="788" spans="1:9" ht="20.399999999999999">
      <c r="A788" s="323"/>
      <c r="B788" s="107"/>
      <c r="C788" s="107"/>
      <c r="D788" s="107"/>
      <c r="E788" s="204"/>
      <c r="F788" s="107"/>
      <c r="G788" s="107"/>
      <c r="H788" s="107"/>
      <c r="I788" s="107"/>
    </row>
    <row r="789" spans="1:9" ht="20.399999999999999">
      <c r="A789" s="323"/>
      <c r="B789" s="107"/>
      <c r="C789" s="107"/>
      <c r="D789" s="107"/>
      <c r="E789" s="204"/>
      <c r="F789" s="107"/>
      <c r="G789" s="107"/>
      <c r="H789" s="107"/>
      <c r="I789" s="107"/>
    </row>
    <row r="790" spans="1:9" ht="20.399999999999999">
      <c r="A790" s="323"/>
      <c r="B790" s="107"/>
      <c r="C790" s="107"/>
      <c r="D790" s="107"/>
      <c r="E790" s="204"/>
      <c r="F790" s="107"/>
      <c r="G790" s="107"/>
      <c r="H790" s="107"/>
      <c r="I790" s="107"/>
    </row>
    <row r="791" spans="1:9" ht="20.399999999999999">
      <c r="A791" s="323"/>
      <c r="B791" s="107"/>
      <c r="C791" s="107"/>
      <c r="D791" s="107"/>
      <c r="E791" s="204"/>
      <c r="F791" s="107"/>
      <c r="G791" s="107"/>
      <c r="H791" s="107"/>
      <c r="I791" s="107"/>
    </row>
    <row r="792" spans="1:9" ht="20.399999999999999">
      <c r="A792" s="323"/>
      <c r="B792" s="107"/>
      <c r="C792" s="107"/>
      <c r="D792" s="107"/>
      <c r="E792" s="204"/>
      <c r="F792" s="107"/>
      <c r="G792" s="107"/>
      <c r="H792" s="107"/>
      <c r="I792" s="107"/>
    </row>
    <row r="793" spans="1:9" ht="20.399999999999999">
      <c r="A793" s="323"/>
      <c r="B793" s="107"/>
      <c r="C793" s="107"/>
      <c r="D793" s="107"/>
      <c r="E793" s="204"/>
      <c r="F793" s="107"/>
      <c r="G793" s="107"/>
      <c r="H793" s="107"/>
      <c r="I793" s="107"/>
    </row>
    <row r="794" spans="1:9" ht="20.399999999999999">
      <c r="A794" s="323"/>
      <c r="B794" s="107"/>
      <c r="C794" s="107"/>
      <c r="D794" s="107"/>
      <c r="E794" s="204"/>
      <c r="F794" s="107"/>
      <c r="G794" s="107"/>
      <c r="H794" s="107"/>
      <c r="I794" s="107"/>
    </row>
    <row r="795" spans="1:9" ht="20.399999999999999">
      <c r="A795" s="323"/>
      <c r="B795" s="107"/>
      <c r="C795" s="107"/>
      <c r="D795" s="107"/>
      <c r="E795" s="204"/>
      <c r="F795" s="107"/>
      <c r="G795" s="107"/>
      <c r="H795" s="107"/>
      <c r="I795" s="107"/>
    </row>
    <row r="796" spans="1:9" ht="20.399999999999999">
      <c r="A796" s="323"/>
      <c r="B796" s="107"/>
      <c r="C796" s="107"/>
      <c r="D796" s="107"/>
      <c r="E796" s="204"/>
      <c r="F796" s="107"/>
      <c r="G796" s="107"/>
      <c r="H796" s="107"/>
      <c r="I796" s="107"/>
    </row>
    <row r="797" spans="1:9" ht="20.399999999999999">
      <c r="A797" s="323"/>
      <c r="B797" s="107"/>
      <c r="C797" s="107"/>
      <c r="D797" s="107"/>
      <c r="E797" s="204"/>
      <c r="F797" s="107"/>
      <c r="G797" s="107"/>
      <c r="H797" s="107"/>
      <c r="I797" s="107"/>
    </row>
    <row r="798" spans="1:9" ht="20.399999999999999">
      <c r="A798" s="323"/>
      <c r="B798" s="107"/>
      <c r="C798" s="107"/>
      <c r="D798" s="107"/>
      <c r="E798" s="204"/>
      <c r="F798" s="107"/>
      <c r="G798" s="107"/>
      <c r="H798" s="107"/>
      <c r="I798" s="107"/>
    </row>
    <row r="799" spans="1:9" ht="20.399999999999999">
      <c r="A799" s="323"/>
      <c r="B799" s="107"/>
      <c r="C799" s="107"/>
      <c r="D799" s="107"/>
      <c r="E799" s="204"/>
      <c r="F799" s="107"/>
      <c r="G799" s="107"/>
      <c r="H799" s="107"/>
      <c r="I799" s="107"/>
    </row>
    <row r="800" spans="1:9" ht="20.399999999999999">
      <c r="A800" s="323"/>
      <c r="B800" s="107"/>
      <c r="C800" s="107"/>
      <c r="D800" s="107"/>
      <c r="E800" s="204"/>
      <c r="F800" s="107"/>
      <c r="G800" s="107"/>
      <c r="H800" s="107"/>
      <c r="I800" s="107"/>
    </row>
    <row r="801" spans="1:9" ht="20.399999999999999">
      <c r="A801" s="323"/>
      <c r="B801" s="107"/>
      <c r="C801" s="107"/>
      <c r="D801" s="107"/>
      <c r="E801" s="204"/>
      <c r="F801" s="107"/>
      <c r="G801" s="107"/>
      <c r="H801" s="107"/>
      <c r="I801" s="107"/>
    </row>
    <row r="802" spans="1:9" ht="20.399999999999999">
      <c r="A802" s="323"/>
      <c r="B802" s="107"/>
      <c r="C802" s="107"/>
      <c r="D802" s="107"/>
      <c r="E802" s="204"/>
      <c r="F802" s="107"/>
      <c r="G802" s="107"/>
      <c r="H802" s="107"/>
      <c r="I802" s="107"/>
    </row>
    <row r="803" spans="1:9" ht="20.399999999999999">
      <c r="A803" s="323"/>
      <c r="B803" s="107"/>
      <c r="C803" s="107"/>
      <c r="D803" s="107"/>
      <c r="E803" s="204"/>
      <c r="F803" s="107"/>
      <c r="G803" s="107"/>
      <c r="H803" s="107"/>
      <c r="I803" s="107"/>
    </row>
    <row r="804" spans="1:9" ht="20.399999999999999">
      <c r="A804" s="323"/>
      <c r="B804" s="107"/>
      <c r="C804" s="107"/>
      <c r="D804" s="107"/>
      <c r="E804" s="204"/>
      <c r="F804" s="107"/>
      <c r="G804" s="107"/>
      <c r="H804" s="107"/>
      <c r="I804" s="107"/>
    </row>
    <row r="805" spans="1:9" ht="20.399999999999999">
      <c r="A805" s="323"/>
      <c r="B805" s="107"/>
      <c r="C805" s="107"/>
      <c r="D805" s="107"/>
      <c r="E805" s="204"/>
      <c r="F805" s="107"/>
      <c r="G805" s="107"/>
      <c r="H805" s="107"/>
      <c r="I805" s="107"/>
    </row>
    <row r="806" spans="1:9" ht="20.399999999999999">
      <c r="A806" s="323"/>
      <c r="B806" s="107"/>
      <c r="C806" s="107"/>
      <c r="D806" s="107"/>
      <c r="E806" s="204"/>
      <c r="F806" s="107"/>
      <c r="G806" s="107"/>
      <c r="H806" s="107"/>
      <c r="I806" s="107"/>
    </row>
    <row r="807" spans="1:9" ht="20.399999999999999">
      <c r="A807" s="323"/>
      <c r="B807" s="107"/>
      <c r="C807" s="107"/>
      <c r="D807" s="107"/>
      <c r="E807" s="204"/>
      <c r="F807" s="107"/>
      <c r="G807" s="107"/>
      <c r="H807" s="107"/>
      <c r="I807" s="107"/>
    </row>
    <row r="808" spans="1:9" ht="20.399999999999999">
      <c r="A808" s="323"/>
      <c r="B808" s="107"/>
      <c r="C808" s="107"/>
      <c r="D808" s="107"/>
      <c r="E808" s="204"/>
      <c r="F808" s="107"/>
      <c r="G808" s="107"/>
      <c r="H808" s="107"/>
      <c r="I808" s="107"/>
    </row>
    <row r="809" spans="1:9" ht="20.399999999999999">
      <c r="A809" s="323"/>
      <c r="B809" s="107"/>
      <c r="C809" s="107"/>
      <c r="D809" s="107"/>
      <c r="E809" s="204"/>
      <c r="F809" s="107"/>
      <c r="G809" s="107"/>
      <c r="H809" s="107"/>
      <c r="I809" s="107"/>
    </row>
    <row r="810" spans="1:9" ht="20.399999999999999">
      <c r="A810" s="323"/>
      <c r="B810" s="107"/>
      <c r="C810" s="107"/>
      <c r="D810" s="107"/>
      <c r="E810" s="204"/>
      <c r="F810" s="107"/>
      <c r="G810" s="107"/>
      <c r="H810" s="107"/>
      <c r="I810" s="107"/>
    </row>
    <row r="811" spans="1:9" ht="20.399999999999999">
      <c r="A811" s="323"/>
      <c r="B811" s="107"/>
      <c r="C811" s="107"/>
      <c r="D811" s="107"/>
      <c r="E811" s="204"/>
      <c r="F811" s="107"/>
      <c r="G811" s="107"/>
      <c r="H811" s="107"/>
      <c r="I811" s="107"/>
    </row>
    <row r="812" spans="1:9" ht="20.399999999999999">
      <c r="A812" s="323"/>
      <c r="B812" s="107"/>
      <c r="C812" s="107"/>
      <c r="D812" s="107"/>
      <c r="E812" s="204"/>
      <c r="F812" s="107"/>
      <c r="G812" s="107"/>
      <c r="H812" s="107"/>
      <c r="I812" s="107"/>
    </row>
    <row r="813" spans="1:9" ht="20.399999999999999">
      <c r="A813" s="323"/>
      <c r="B813" s="107"/>
      <c r="C813" s="107"/>
      <c r="D813" s="107"/>
      <c r="E813" s="204"/>
      <c r="F813" s="107"/>
      <c r="G813" s="107"/>
      <c r="H813" s="107"/>
      <c r="I813" s="107"/>
    </row>
    <row r="814" spans="1:9" ht="20.399999999999999">
      <c r="A814" s="323"/>
      <c r="B814" s="107"/>
      <c r="C814" s="107"/>
      <c r="D814" s="107"/>
      <c r="E814" s="204"/>
      <c r="F814" s="107"/>
      <c r="G814" s="107"/>
      <c r="H814" s="107"/>
      <c r="I814" s="107"/>
    </row>
    <row r="815" spans="1:9" ht="20.399999999999999">
      <c r="A815" s="323"/>
      <c r="B815" s="107"/>
      <c r="C815" s="107"/>
      <c r="D815" s="107"/>
      <c r="E815" s="204"/>
      <c r="F815" s="107"/>
      <c r="G815" s="107"/>
      <c r="H815" s="107"/>
      <c r="I815" s="107"/>
    </row>
    <row r="816" spans="1:9" ht="20.399999999999999">
      <c r="A816" s="323"/>
      <c r="B816" s="107"/>
      <c r="C816" s="107"/>
      <c r="D816" s="107"/>
      <c r="E816" s="204"/>
      <c r="F816" s="107"/>
      <c r="G816" s="107"/>
      <c r="H816" s="107"/>
      <c r="I816" s="107"/>
    </row>
    <row r="817" spans="1:9" ht="20.399999999999999">
      <c r="A817" s="323"/>
      <c r="B817" s="107"/>
      <c r="C817" s="107"/>
      <c r="D817" s="107"/>
      <c r="E817" s="204"/>
      <c r="F817" s="107"/>
      <c r="G817" s="107"/>
      <c r="H817" s="107"/>
      <c r="I817" s="107"/>
    </row>
    <row r="818" spans="1:9" ht="20.399999999999999">
      <c r="A818" s="323"/>
      <c r="B818" s="107"/>
      <c r="C818" s="107"/>
      <c r="D818" s="107"/>
      <c r="E818" s="204"/>
      <c r="F818" s="107"/>
      <c r="G818" s="107"/>
      <c r="H818" s="107"/>
      <c r="I818" s="107"/>
    </row>
    <row r="819" spans="1:9" ht="20.399999999999999">
      <c r="A819" s="323"/>
      <c r="B819" s="107"/>
      <c r="C819" s="107"/>
      <c r="D819" s="107"/>
      <c r="E819" s="204"/>
      <c r="F819" s="107"/>
      <c r="G819" s="107"/>
      <c r="H819" s="107"/>
      <c r="I819" s="107"/>
    </row>
    <row r="820" spans="1:9" ht="20.399999999999999">
      <c r="A820" s="323"/>
      <c r="B820" s="107"/>
      <c r="C820" s="107"/>
      <c r="D820" s="107"/>
      <c r="E820" s="204"/>
      <c r="F820" s="107"/>
      <c r="G820" s="107"/>
      <c r="H820" s="107"/>
      <c r="I820" s="107"/>
    </row>
    <row r="821" spans="1:9" ht="20.399999999999999">
      <c r="A821" s="323"/>
      <c r="B821" s="107"/>
      <c r="C821" s="107"/>
      <c r="D821" s="107"/>
      <c r="E821" s="204"/>
      <c r="F821" s="107"/>
      <c r="G821" s="107"/>
      <c r="H821" s="107"/>
      <c r="I821" s="107"/>
    </row>
    <row r="822" spans="1:9" ht="20.399999999999999">
      <c r="A822" s="323"/>
      <c r="B822" s="107"/>
      <c r="C822" s="107"/>
      <c r="D822" s="107"/>
      <c r="E822" s="204"/>
      <c r="F822" s="107"/>
      <c r="G822" s="107"/>
      <c r="H822" s="107"/>
      <c r="I822" s="107"/>
    </row>
    <row r="823" spans="1:9" ht="20.399999999999999">
      <c r="A823" s="323"/>
      <c r="B823" s="107"/>
      <c r="C823" s="107"/>
      <c r="D823" s="107"/>
      <c r="E823" s="204"/>
      <c r="F823" s="107"/>
      <c r="G823" s="107"/>
      <c r="H823" s="107"/>
      <c r="I823" s="107"/>
    </row>
    <row r="824" spans="1:9" ht="20.399999999999999">
      <c r="A824" s="323"/>
      <c r="B824" s="107"/>
      <c r="C824" s="107"/>
      <c r="D824" s="107"/>
      <c r="E824" s="204"/>
      <c r="F824" s="107"/>
      <c r="G824" s="107"/>
      <c r="H824" s="107"/>
      <c r="I824" s="107"/>
    </row>
    <row r="825" spans="1:9" ht="20.399999999999999">
      <c r="A825" s="323"/>
      <c r="B825" s="107"/>
      <c r="C825" s="107"/>
      <c r="D825" s="107"/>
      <c r="E825" s="204"/>
      <c r="F825" s="107"/>
      <c r="G825" s="107"/>
      <c r="H825" s="107"/>
      <c r="I825" s="107"/>
    </row>
    <row r="826" spans="1:9" ht="20.399999999999999">
      <c r="A826" s="323"/>
      <c r="B826" s="107"/>
      <c r="C826" s="107"/>
      <c r="D826" s="107"/>
      <c r="E826" s="204"/>
      <c r="F826" s="107"/>
      <c r="G826" s="107"/>
      <c r="H826" s="107"/>
      <c r="I826" s="107"/>
    </row>
    <row r="827" spans="1:9" ht="20.399999999999999">
      <c r="A827" s="323"/>
      <c r="B827" s="107"/>
      <c r="C827" s="107"/>
      <c r="D827" s="107"/>
      <c r="E827" s="204"/>
      <c r="F827" s="107"/>
      <c r="G827" s="107"/>
      <c r="H827" s="107"/>
      <c r="I827" s="107"/>
    </row>
    <row r="828" spans="1:9" ht="20.399999999999999">
      <c r="A828" s="323"/>
      <c r="B828" s="63"/>
      <c r="C828" s="63"/>
      <c r="D828" s="63"/>
      <c r="E828" s="326"/>
      <c r="F828" s="63"/>
    </row>
    <row r="829" spans="1:9" ht="20.399999999999999">
      <c r="A829" s="323"/>
      <c r="B829" s="63"/>
      <c r="C829" s="63"/>
      <c r="D829" s="63"/>
      <c r="E829" s="326"/>
      <c r="F829" s="63"/>
    </row>
    <row r="830" spans="1:9" ht="20.399999999999999">
      <c r="A830" s="323"/>
      <c r="B830" s="63"/>
      <c r="C830" s="63"/>
      <c r="D830" s="63"/>
      <c r="E830" s="326"/>
      <c r="F830" s="63"/>
    </row>
    <row r="831" spans="1:9" ht="20.399999999999999">
      <c r="A831" s="323"/>
      <c r="B831" s="63"/>
      <c r="C831" s="63"/>
      <c r="D831" s="63"/>
      <c r="E831" s="326"/>
      <c r="F831" s="63"/>
    </row>
    <row r="832" spans="1:9" ht="20.399999999999999">
      <c r="A832" s="323"/>
      <c r="B832" s="63"/>
      <c r="C832" s="63"/>
      <c r="D832" s="63"/>
      <c r="E832" s="326"/>
      <c r="F832" s="63"/>
    </row>
    <row r="833" spans="1:6" ht="20.399999999999999">
      <c r="A833" s="323"/>
      <c r="B833" s="63"/>
      <c r="C833" s="63"/>
      <c r="D833" s="63"/>
      <c r="E833" s="326"/>
      <c r="F833" s="63"/>
    </row>
    <row r="834" spans="1:6" ht="20.399999999999999">
      <c r="A834" s="323"/>
      <c r="B834" s="63"/>
      <c r="C834" s="63"/>
      <c r="D834" s="63"/>
      <c r="E834" s="326"/>
      <c r="F834" s="63"/>
    </row>
    <row r="835" spans="1:6" ht="20.399999999999999">
      <c r="A835" s="323"/>
      <c r="B835" s="63"/>
      <c r="C835" s="63"/>
      <c r="D835" s="63"/>
      <c r="E835" s="326"/>
      <c r="F835" s="63"/>
    </row>
    <row r="836" spans="1:6" ht="20.399999999999999">
      <c r="A836" s="323"/>
      <c r="B836" s="63"/>
      <c r="C836" s="63"/>
      <c r="D836" s="63"/>
      <c r="E836" s="326"/>
      <c r="F836" s="63"/>
    </row>
    <row r="837" spans="1:6" ht="20.399999999999999">
      <c r="A837" s="323"/>
      <c r="B837" s="63"/>
      <c r="C837" s="63"/>
      <c r="D837" s="63"/>
      <c r="E837" s="326"/>
      <c r="F837" s="63"/>
    </row>
    <row r="838" spans="1:6" ht="20.399999999999999">
      <c r="A838" s="323"/>
      <c r="B838" s="63"/>
      <c r="C838" s="63"/>
      <c r="D838" s="63"/>
      <c r="E838" s="326"/>
      <c r="F838" s="63"/>
    </row>
    <row r="839" spans="1:6" ht="20.399999999999999">
      <c r="A839" s="323"/>
      <c r="B839" s="63"/>
      <c r="C839" s="63"/>
      <c r="D839" s="63"/>
      <c r="E839" s="326"/>
      <c r="F839" s="63"/>
    </row>
    <row r="840" spans="1:6" ht="20.399999999999999">
      <c r="A840" s="323"/>
      <c r="B840" s="63"/>
      <c r="C840" s="63"/>
      <c r="D840" s="63"/>
      <c r="E840" s="326"/>
      <c r="F840" s="63"/>
    </row>
    <row r="841" spans="1:6" ht="20.399999999999999">
      <c r="A841" s="323"/>
      <c r="B841" s="63"/>
      <c r="C841" s="63"/>
      <c r="D841" s="63"/>
      <c r="E841" s="326"/>
      <c r="F841" s="63"/>
    </row>
    <row r="842" spans="1:6" ht="20.399999999999999">
      <c r="A842" s="323"/>
      <c r="B842" s="63"/>
      <c r="C842" s="63"/>
      <c r="D842" s="63"/>
      <c r="E842" s="326"/>
      <c r="F842" s="63"/>
    </row>
    <row r="843" spans="1:6" ht="20.399999999999999">
      <c r="A843" s="323"/>
      <c r="B843" s="63"/>
      <c r="C843" s="63"/>
      <c r="D843" s="63"/>
      <c r="E843" s="326"/>
      <c r="F843" s="63"/>
    </row>
    <row r="844" spans="1:6" ht="20.399999999999999">
      <c r="A844" s="323"/>
      <c r="B844" s="63"/>
      <c r="C844" s="63"/>
      <c r="D844" s="63"/>
      <c r="E844" s="326"/>
      <c r="F844" s="63"/>
    </row>
    <row r="845" spans="1:6" ht="20.399999999999999">
      <c r="A845" s="323"/>
      <c r="B845" s="63"/>
      <c r="C845" s="63"/>
      <c r="D845" s="63"/>
      <c r="E845" s="326"/>
      <c r="F845" s="63"/>
    </row>
    <row r="846" spans="1:6" ht="20.399999999999999">
      <c r="A846" s="323"/>
      <c r="B846" s="63"/>
      <c r="C846" s="63"/>
      <c r="D846" s="63"/>
      <c r="E846" s="326"/>
      <c r="F846" s="63"/>
    </row>
    <row r="847" spans="1:6" ht="20.399999999999999">
      <c r="A847" s="323"/>
      <c r="B847" s="63"/>
      <c r="C847" s="63"/>
      <c r="D847" s="63"/>
      <c r="E847" s="326"/>
      <c r="F847" s="63"/>
    </row>
    <row r="848" spans="1:6" ht="20.399999999999999">
      <c r="A848" s="323"/>
      <c r="B848" s="63"/>
      <c r="C848" s="63"/>
      <c r="D848" s="63"/>
      <c r="E848" s="326"/>
      <c r="F848" s="63"/>
    </row>
    <row r="849" spans="1:6" ht="20.399999999999999">
      <c r="A849" s="323"/>
      <c r="B849" s="63"/>
      <c r="C849" s="63"/>
      <c r="D849" s="63"/>
      <c r="E849" s="326"/>
      <c r="F849" s="63"/>
    </row>
    <row r="850" spans="1:6" ht="20.399999999999999">
      <c r="A850" s="323"/>
      <c r="B850" s="63"/>
      <c r="C850" s="63"/>
      <c r="D850" s="63"/>
      <c r="E850" s="326"/>
      <c r="F850" s="63"/>
    </row>
    <row r="851" spans="1:6" ht="20.399999999999999">
      <c r="A851" s="323"/>
      <c r="B851" s="63"/>
      <c r="C851" s="63"/>
      <c r="D851" s="63"/>
      <c r="E851" s="326"/>
      <c r="F851" s="63"/>
    </row>
    <row r="852" spans="1:6" ht="20.399999999999999">
      <c r="A852" s="323"/>
      <c r="B852" s="63"/>
      <c r="C852" s="63"/>
      <c r="D852" s="63"/>
      <c r="E852" s="326"/>
      <c r="F852" s="63"/>
    </row>
    <row r="853" spans="1:6" ht="20.399999999999999">
      <c r="A853" s="323"/>
      <c r="B853" s="63"/>
      <c r="C853" s="63"/>
      <c r="D853" s="63"/>
      <c r="E853" s="326"/>
      <c r="F853" s="63"/>
    </row>
    <row r="854" spans="1:6" ht="20.399999999999999">
      <c r="A854" s="323"/>
      <c r="B854" s="63"/>
      <c r="C854" s="63"/>
      <c r="D854" s="63"/>
      <c r="E854" s="326"/>
      <c r="F854" s="63"/>
    </row>
    <row r="855" spans="1:6" ht="20.399999999999999">
      <c r="A855" s="323"/>
      <c r="B855" s="63"/>
      <c r="C855" s="63"/>
      <c r="D855" s="63"/>
      <c r="E855" s="326"/>
      <c r="F855" s="63"/>
    </row>
    <row r="856" spans="1:6" ht="20.399999999999999">
      <c r="A856" s="323"/>
      <c r="B856" s="63"/>
      <c r="C856" s="63"/>
      <c r="D856" s="63"/>
      <c r="E856" s="326"/>
      <c r="F856" s="63"/>
    </row>
    <row r="857" spans="1:6" ht="20.399999999999999">
      <c r="A857" s="323"/>
      <c r="B857" s="63"/>
      <c r="C857" s="63"/>
      <c r="D857" s="63"/>
      <c r="E857" s="326"/>
      <c r="F857" s="63"/>
    </row>
    <row r="858" spans="1:6" ht="20.399999999999999">
      <c r="A858" s="323"/>
      <c r="B858" s="63"/>
      <c r="C858" s="63"/>
      <c r="D858" s="63"/>
      <c r="E858" s="326"/>
      <c r="F858" s="63"/>
    </row>
    <row r="859" spans="1:6" ht="20.399999999999999">
      <c r="A859" s="323"/>
      <c r="B859" s="63"/>
      <c r="C859" s="63"/>
      <c r="D859" s="63"/>
      <c r="E859" s="326"/>
      <c r="F859" s="63"/>
    </row>
    <row r="860" spans="1:6" ht="20.399999999999999">
      <c r="A860" s="323"/>
      <c r="B860" s="63"/>
      <c r="C860" s="63"/>
      <c r="D860" s="63"/>
      <c r="E860" s="326"/>
      <c r="F860" s="63"/>
    </row>
    <row r="861" spans="1:6" ht="20.399999999999999">
      <c r="A861" s="323"/>
      <c r="B861" s="63"/>
      <c r="C861" s="63"/>
      <c r="D861" s="63"/>
      <c r="E861" s="326"/>
      <c r="F861" s="63"/>
    </row>
    <row r="862" spans="1:6" ht="20.399999999999999">
      <c r="A862" s="323"/>
      <c r="B862" s="63"/>
      <c r="C862" s="63"/>
      <c r="D862" s="63"/>
      <c r="E862" s="326"/>
      <c r="F862" s="63"/>
    </row>
    <row r="863" spans="1:6" ht="20.399999999999999">
      <c r="A863" s="323"/>
      <c r="B863" s="63"/>
      <c r="C863" s="63"/>
      <c r="D863" s="63"/>
      <c r="E863" s="326"/>
      <c r="F863" s="63"/>
    </row>
    <row r="864" spans="1:6" ht="20.399999999999999">
      <c r="A864" s="323"/>
      <c r="B864" s="63"/>
      <c r="C864" s="63"/>
      <c r="D864" s="63"/>
      <c r="E864" s="326"/>
      <c r="F864" s="63"/>
    </row>
    <row r="865" spans="1:6" ht="20.399999999999999">
      <c r="A865" s="323"/>
      <c r="B865" s="63"/>
      <c r="C865" s="63"/>
      <c r="D865" s="63"/>
      <c r="E865" s="326"/>
      <c r="F865" s="63"/>
    </row>
    <row r="866" spans="1:6" ht="20.399999999999999">
      <c r="A866" s="323"/>
      <c r="B866" s="63"/>
      <c r="C866" s="63"/>
      <c r="D866" s="63"/>
      <c r="E866" s="326"/>
      <c r="F866" s="63"/>
    </row>
    <row r="867" spans="1:6" ht="20.399999999999999">
      <c r="A867" s="323"/>
      <c r="B867" s="63"/>
      <c r="C867" s="63"/>
      <c r="D867" s="63"/>
      <c r="E867" s="326"/>
      <c r="F867" s="63"/>
    </row>
    <row r="868" spans="1:6" ht="20.399999999999999">
      <c r="A868" s="323"/>
      <c r="B868" s="63"/>
      <c r="C868" s="63"/>
      <c r="D868" s="63"/>
      <c r="E868" s="326"/>
      <c r="F868" s="63"/>
    </row>
    <row r="869" spans="1:6" ht="20.399999999999999">
      <c r="A869" s="323"/>
      <c r="B869" s="63"/>
      <c r="C869" s="63"/>
      <c r="D869" s="63"/>
      <c r="E869" s="326"/>
      <c r="F869" s="63"/>
    </row>
    <row r="870" spans="1:6" ht="20.399999999999999">
      <c r="A870" s="323"/>
      <c r="B870" s="63"/>
      <c r="C870" s="63"/>
      <c r="D870" s="63"/>
      <c r="E870" s="326"/>
      <c r="F870" s="63"/>
    </row>
    <row r="871" spans="1:6" ht="20.399999999999999">
      <c r="A871" s="323"/>
      <c r="B871" s="63"/>
      <c r="C871" s="63"/>
      <c r="D871" s="63"/>
      <c r="E871" s="326"/>
      <c r="F871" s="63"/>
    </row>
    <row r="872" spans="1:6" ht="20.399999999999999">
      <c r="A872" s="323"/>
      <c r="B872" s="63"/>
      <c r="C872" s="63"/>
      <c r="D872" s="63"/>
      <c r="E872" s="326"/>
      <c r="F872" s="63"/>
    </row>
    <row r="873" spans="1:6" ht="20.399999999999999">
      <c r="A873" s="323"/>
      <c r="B873" s="63"/>
      <c r="C873" s="63"/>
      <c r="D873" s="63"/>
      <c r="E873" s="326"/>
      <c r="F873" s="63"/>
    </row>
    <row r="874" spans="1:6" ht="20.399999999999999">
      <c r="A874" s="323"/>
      <c r="B874" s="63"/>
      <c r="C874" s="63"/>
      <c r="D874" s="63"/>
      <c r="E874" s="326"/>
      <c r="F874" s="63"/>
    </row>
    <row r="875" spans="1:6" ht="20.399999999999999">
      <c r="A875" s="323"/>
      <c r="B875" s="63"/>
      <c r="C875" s="63"/>
      <c r="D875" s="63"/>
      <c r="E875" s="326"/>
      <c r="F875" s="63"/>
    </row>
    <row r="876" spans="1:6" ht="20.399999999999999">
      <c r="A876" s="323"/>
      <c r="B876" s="63"/>
      <c r="C876" s="63"/>
      <c r="D876" s="63"/>
      <c r="E876" s="326"/>
      <c r="F876" s="63"/>
    </row>
    <row r="877" spans="1:6" ht="20.399999999999999">
      <c r="A877" s="323"/>
      <c r="B877" s="63"/>
      <c r="C877" s="63"/>
      <c r="D877" s="63"/>
      <c r="E877" s="326"/>
      <c r="F877" s="63"/>
    </row>
    <row r="878" spans="1:6" ht="20.399999999999999">
      <c r="A878" s="323"/>
      <c r="B878" s="63"/>
      <c r="C878" s="63"/>
      <c r="D878" s="63"/>
      <c r="E878" s="326"/>
      <c r="F878" s="63"/>
    </row>
    <row r="879" spans="1:6" ht="20.399999999999999">
      <c r="A879" s="323"/>
      <c r="B879" s="63"/>
      <c r="C879" s="63"/>
      <c r="D879" s="63"/>
      <c r="E879" s="326"/>
      <c r="F879" s="63"/>
    </row>
    <row r="880" spans="1:6" ht="20.399999999999999">
      <c r="A880" s="323"/>
      <c r="B880" s="63"/>
      <c r="C880" s="63"/>
      <c r="D880" s="63"/>
      <c r="E880" s="326"/>
      <c r="F880" s="63"/>
    </row>
    <row r="881" spans="1:6" ht="20.399999999999999">
      <c r="A881" s="323"/>
      <c r="B881" s="63"/>
      <c r="C881" s="63"/>
      <c r="D881" s="63"/>
      <c r="E881" s="326"/>
      <c r="F881" s="63"/>
    </row>
    <row r="882" spans="1:6" ht="20.399999999999999">
      <c r="A882" s="323"/>
      <c r="B882" s="63"/>
      <c r="C882" s="63"/>
      <c r="D882" s="63"/>
      <c r="E882" s="326"/>
      <c r="F882" s="63"/>
    </row>
    <row r="883" spans="1:6" ht="20.399999999999999">
      <c r="A883" s="323"/>
      <c r="B883" s="63"/>
      <c r="C883" s="63"/>
      <c r="D883" s="63"/>
      <c r="E883" s="326"/>
      <c r="F883" s="63"/>
    </row>
    <row r="884" spans="1:6" ht="20.399999999999999">
      <c r="A884" s="323"/>
      <c r="B884" s="63"/>
      <c r="C884" s="63"/>
      <c r="D884" s="63"/>
      <c r="E884" s="326"/>
      <c r="F884" s="63"/>
    </row>
    <row r="885" spans="1:6" ht="20.399999999999999">
      <c r="A885" s="323"/>
      <c r="B885" s="63"/>
      <c r="C885" s="63"/>
      <c r="D885" s="63"/>
      <c r="E885" s="326"/>
      <c r="F885" s="63"/>
    </row>
    <row r="886" spans="1:6" ht="20.399999999999999">
      <c r="A886" s="323"/>
      <c r="B886" s="63"/>
      <c r="C886" s="63"/>
      <c r="D886" s="63"/>
      <c r="E886" s="326"/>
      <c r="F886" s="63"/>
    </row>
    <row r="887" spans="1:6" ht="20.399999999999999">
      <c r="A887" s="323"/>
      <c r="B887" s="63"/>
      <c r="C887" s="63"/>
      <c r="D887" s="63"/>
      <c r="E887" s="326"/>
      <c r="F887" s="63"/>
    </row>
    <row r="888" spans="1:6" ht="20.399999999999999">
      <c r="A888" s="323"/>
      <c r="B888" s="63"/>
      <c r="C888" s="63"/>
      <c r="D888" s="63"/>
      <c r="E888" s="326"/>
      <c r="F888" s="63"/>
    </row>
    <row r="889" spans="1:6" ht="20.399999999999999">
      <c r="A889" s="323"/>
      <c r="B889" s="63"/>
      <c r="C889" s="63"/>
      <c r="D889" s="63"/>
      <c r="E889" s="326"/>
      <c r="F889" s="63"/>
    </row>
    <row r="890" spans="1:6" ht="20.399999999999999">
      <c r="A890" s="323"/>
      <c r="B890" s="63"/>
      <c r="C890" s="63"/>
      <c r="D890" s="63"/>
      <c r="E890" s="326"/>
      <c r="F890" s="63"/>
    </row>
    <row r="891" spans="1:6" ht="20.399999999999999">
      <c r="A891" s="323"/>
      <c r="B891" s="63"/>
      <c r="C891" s="63"/>
      <c r="D891" s="63"/>
      <c r="E891" s="326"/>
      <c r="F891" s="63"/>
    </row>
    <row r="892" spans="1:6" ht="20.399999999999999">
      <c r="A892" s="323"/>
      <c r="B892" s="63"/>
      <c r="C892" s="63"/>
      <c r="D892" s="63"/>
      <c r="E892" s="326"/>
      <c r="F892" s="63"/>
    </row>
    <row r="893" spans="1:6" ht="20.399999999999999">
      <c r="A893" s="323"/>
      <c r="B893" s="63"/>
      <c r="C893" s="63"/>
      <c r="D893" s="63"/>
      <c r="E893" s="326"/>
      <c r="F893" s="63"/>
    </row>
    <row r="894" spans="1:6" ht="20.399999999999999">
      <c r="A894" s="323"/>
      <c r="B894" s="63"/>
      <c r="C894" s="63"/>
      <c r="D894" s="63"/>
      <c r="E894" s="326"/>
      <c r="F894" s="63"/>
    </row>
    <row r="895" spans="1:6" ht="20.399999999999999">
      <c r="A895" s="323"/>
      <c r="B895" s="63"/>
      <c r="C895" s="63"/>
      <c r="D895" s="63"/>
      <c r="E895" s="326"/>
      <c r="F895" s="63"/>
    </row>
    <row r="896" spans="1:6" ht="20.399999999999999">
      <c r="A896" s="323"/>
      <c r="B896" s="63"/>
      <c r="C896" s="63"/>
      <c r="D896" s="63"/>
      <c r="E896" s="326"/>
      <c r="F896" s="63"/>
    </row>
    <row r="897" spans="1:6" ht="20.399999999999999">
      <c r="A897" s="323"/>
      <c r="B897" s="63"/>
      <c r="C897" s="63"/>
      <c r="D897" s="63"/>
      <c r="E897" s="326"/>
      <c r="F897" s="63"/>
    </row>
    <row r="898" spans="1:6" ht="20.399999999999999">
      <c r="A898" s="323"/>
      <c r="B898" s="63"/>
      <c r="C898" s="63"/>
      <c r="D898" s="63"/>
      <c r="E898" s="326"/>
      <c r="F898" s="63"/>
    </row>
    <row r="899" spans="1:6" ht="20.399999999999999">
      <c r="A899" s="323"/>
      <c r="B899" s="63"/>
      <c r="C899" s="63"/>
      <c r="D899" s="63"/>
      <c r="E899" s="326"/>
      <c r="F899" s="63"/>
    </row>
    <row r="900" spans="1:6" ht="20.399999999999999">
      <c r="A900" s="323"/>
      <c r="B900" s="63"/>
      <c r="C900" s="63"/>
      <c r="D900" s="63"/>
      <c r="E900" s="326"/>
      <c r="F900" s="63"/>
    </row>
    <row r="901" spans="1:6" ht="20.399999999999999">
      <c r="A901" s="323"/>
      <c r="B901" s="63"/>
      <c r="C901" s="63"/>
      <c r="D901" s="63"/>
      <c r="E901" s="326"/>
      <c r="F901" s="63"/>
    </row>
    <row r="902" spans="1:6" ht="20.399999999999999">
      <c r="A902" s="323"/>
      <c r="B902" s="63"/>
      <c r="C902" s="63"/>
      <c r="D902" s="63"/>
      <c r="E902" s="326"/>
      <c r="F902" s="63"/>
    </row>
    <row r="903" spans="1:6" ht="20.399999999999999">
      <c r="A903" s="323"/>
      <c r="B903" s="63"/>
      <c r="C903" s="63"/>
      <c r="D903" s="63"/>
      <c r="E903" s="326"/>
      <c r="F903" s="63"/>
    </row>
    <row r="904" spans="1:6" ht="20.399999999999999">
      <c r="A904" s="323"/>
      <c r="B904" s="63"/>
      <c r="C904" s="63"/>
      <c r="D904" s="63"/>
      <c r="E904" s="326"/>
      <c r="F904" s="63"/>
    </row>
    <row r="905" spans="1:6" ht="20.399999999999999">
      <c r="A905" s="323"/>
      <c r="B905" s="63"/>
      <c r="C905" s="63"/>
      <c r="D905" s="63"/>
      <c r="E905" s="326"/>
      <c r="F905" s="63"/>
    </row>
    <row r="906" spans="1:6" ht="20.399999999999999">
      <c r="A906" s="323"/>
      <c r="B906" s="63"/>
      <c r="C906" s="63"/>
      <c r="D906" s="63"/>
      <c r="E906" s="326"/>
      <c r="F906" s="63"/>
    </row>
    <row r="907" spans="1:6" ht="20.399999999999999">
      <c r="A907" s="323"/>
      <c r="B907" s="63"/>
      <c r="C907" s="63"/>
      <c r="D907" s="63"/>
      <c r="E907" s="326"/>
      <c r="F907" s="63"/>
    </row>
    <row r="908" spans="1:6" ht="20.399999999999999">
      <c r="A908" s="323"/>
      <c r="B908" s="63"/>
      <c r="C908" s="63"/>
      <c r="D908" s="63"/>
      <c r="E908" s="326"/>
      <c r="F908" s="63"/>
    </row>
    <row r="909" spans="1:6" ht="20.399999999999999">
      <c r="A909" s="323"/>
      <c r="B909" s="63"/>
      <c r="C909" s="63"/>
      <c r="D909" s="63"/>
      <c r="E909" s="326"/>
      <c r="F909" s="63"/>
    </row>
    <row r="910" spans="1:6" ht="20.399999999999999">
      <c r="A910" s="323"/>
      <c r="B910" s="63"/>
      <c r="C910" s="63"/>
      <c r="D910" s="63"/>
      <c r="E910" s="326"/>
      <c r="F910" s="63"/>
    </row>
    <row r="911" spans="1:6" ht="20.399999999999999">
      <c r="A911" s="323"/>
      <c r="B911" s="63"/>
      <c r="C911" s="63"/>
      <c r="D911" s="63"/>
      <c r="E911" s="326"/>
      <c r="F911" s="63"/>
    </row>
    <row r="912" spans="1:6" ht="20.399999999999999">
      <c r="A912" s="323"/>
      <c r="B912" s="63"/>
      <c r="C912" s="63"/>
      <c r="D912" s="63"/>
      <c r="E912" s="326"/>
      <c r="F912" s="63"/>
    </row>
    <row r="913" spans="1:6" ht="20.399999999999999">
      <c r="A913" s="323"/>
      <c r="B913" s="63"/>
      <c r="C913" s="63"/>
      <c r="D913" s="63"/>
      <c r="E913" s="326"/>
      <c r="F913" s="63"/>
    </row>
    <row r="914" spans="1:6" ht="20.399999999999999">
      <c r="A914" s="323"/>
      <c r="B914" s="63"/>
      <c r="C914" s="63"/>
      <c r="D914" s="63"/>
      <c r="E914" s="326"/>
      <c r="F914" s="63"/>
    </row>
    <row r="915" spans="1:6" ht="20.399999999999999">
      <c r="A915" s="323"/>
      <c r="B915" s="63"/>
      <c r="C915" s="63"/>
      <c r="D915" s="63"/>
      <c r="E915" s="326"/>
      <c r="F915" s="63"/>
    </row>
    <row r="916" spans="1:6" ht="20.399999999999999">
      <c r="A916" s="323"/>
      <c r="B916" s="63"/>
      <c r="C916" s="63"/>
      <c r="D916" s="63"/>
      <c r="E916" s="326"/>
      <c r="F916" s="63"/>
    </row>
    <row r="917" spans="1:6" ht="20.399999999999999">
      <c r="A917" s="323"/>
      <c r="B917" s="63"/>
      <c r="C917" s="63"/>
      <c r="D917" s="63"/>
      <c r="E917" s="326"/>
      <c r="F917" s="63"/>
    </row>
    <row r="918" spans="1:6" ht="20.399999999999999">
      <c r="A918" s="323"/>
      <c r="B918" s="63"/>
      <c r="C918" s="63"/>
      <c r="D918" s="63"/>
      <c r="E918" s="326"/>
      <c r="F918" s="63"/>
    </row>
    <row r="919" spans="1:6" ht="20.399999999999999">
      <c r="A919" s="323"/>
      <c r="B919" s="63"/>
      <c r="C919" s="63"/>
      <c r="D919" s="63"/>
      <c r="E919" s="326"/>
      <c r="F919" s="63"/>
    </row>
    <row r="920" spans="1:6" ht="20.399999999999999">
      <c r="A920" s="323"/>
      <c r="B920" s="63"/>
      <c r="C920" s="63"/>
      <c r="D920" s="63"/>
      <c r="E920" s="326"/>
      <c r="F920" s="63"/>
    </row>
    <row r="921" spans="1:6" ht="20.399999999999999">
      <c r="A921" s="323"/>
      <c r="B921" s="63"/>
      <c r="C921" s="63"/>
      <c r="D921" s="63"/>
      <c r="E921" s="326"/>
      <c r="F921" s="63"/>
    </row>
    <row r="922" spans="1:6" ht="20.399999999999999">
      <c r="A922" s="323"/>
      <c r="B922" s="63"/>
      <c r="C922" s="63"/>
      <c r="D922" s="63"/>
      <c r="E922" s="326"/>
      <c r="F922" s="63"/>
    </row>
    <row r="923" spans="1:6" ht="20.399999999999999">
      <c r="A923" s="323"/>
      <c r="B923" s="63"/>
      <c r="C923" s="63"/>
      <c r="D923" s="63"/>
      <c r="E923" s="326"/>
      <c r="F923" s="63"/>
    </row>
    <row r="924" spans="1:6" ht="20.399999999999999">
      <c r="A924" s="323"/>
      <c r="B924" s="63"/>
      <c r="C924" s="63"/>
      <c r="D924" s="63"/>
      <c r="E924" s="326"/>
      <c r="F924" s="63"/>
    </row>
    <row r="925" spans="1:6" ht="20.399999999999999">
      <c r="A925" s="323"/>
      <c r="B925" s="63"/>
      <c r="C925" s="63"/>
      <c r="D925" s="63"/>
      <c r="E925" s="326"/>
      <c r="F925" s="63"/>
    </row>
    <row r="926" spans="1:6" ht="20.399999999999999">
      <c r="A926" s="323"/>
      <c r="B926" s="63"/>
      <c r="C926" s="63"/>
      <c r="D926" s="63"/>
      <c r="E926" s="326"/>
      <c r="F926" s="63"/>
    </row>
    <row r="927" spans="1:6" ht="20.399999999999999">
      <c r="A927" s="323"/>
      <c r="B927" s="63"/>
      <c r="C927" s="63"/>
      <c r="D927" s="63"/>
      <c r="E927" s="326"/>
      <c r="F927" s="63"/>
    </row>
    <row r="928" spans="1:6" ht="20.399999999999999">
      <c r="A928" s="323"/>
      <c r="B928" s="63"/>
      <c r="C928" s="63"/>
      <c r="D928" s="63"/>
      <c r="E928" s="326"/>
      <c r="F928" s="63"/>
    </row>
    <row r="929" spans="1:6" ht="20.399999999999999">
      <c r="A929" s="323"/>
      <c r="B929" s="63"/>
      <c r="C929" s="63"/>
      <c r="D929" s="63"/>
      <c r="E929" s="326"/>
      <c r="F929" s="63"/>
    </row>
    <row r="930" spans="1:6" ht="20.399999999999999">
      <c r="A930" s="323"/>
      <c r="B930" s="63"/>
      <c r="C930" s="63"/>
      <c r="D930" s="63"/>
      <c r="E930" s="326"/>
      <c r="F930" s="63"/>
    </row>
    <row r="931" spans="1:6" ht="20.399999999999999">
      <c r="A931" s="323"/>
      <c r="B931" s="63"/>
      <c r="C931" s="63"/>
      <c r="D931" s="63"/>
      <c r="E931" s="326"/>
      <c r="F931" s="63"/>
    </row>
    <row r="932" spans="1:6" ht="20.399999999999999">
      <c r="A932" s="323"/>
      <c r="B932" s="63"/>
      <c r="C932" s="63"/>
      <c r="D932" s="63"/>
      <c r="E932" s="326"/>
      <c r="F932" s="63"/>
    </row>
    <row r="933" spans="1:6" ht="20.399999999999999">
      <c r="A933" s="323"/>
      <c r="B933" s="63"/>
      <c r="C933" s="63"/>
      <c r="D933" s="63"/>
      <c r="E933" s="326"/>
      <c r="F933" s="63"/>
    </row>
    <row r="934" spans="1:6" ht="20.399999999999999">
      <c r="A934" s="323"/>
      <c r="B934" s="63"/>
      <c r="C934" s="63"/>
      <c r="D934" s="63"/>
      <c r="E934" s="326"/>
      <c r="F934" s="63"/>
    </row>
    <row r="935" spans="1:6" ht="20.399999999999999">
      <c r="A935" s="323"/>
      <c r="B935" s="63"/>
      <c r="C935" s="63"/>
      <c r="D935" s="63"/>
      <c r="E935" s="326"/>
      <c r="F935" s="63"/>
    </row>
    <row r="936" spans="1:6" ht="20.399999999999999">
      <c r="A936" s="323"/>
      <c r="B936" s="63"/>
      <c r="C936" s="63"/>
      <c r="D936" s="63"/>
      <c r="E936" s="326"/>
      <c r="F936" s="63"/>
    </row>
    <row r="937" spans="1:6" ht="20.399999999999999">
      <c r="A937" s="323"/>
      <c r="B937" s="63"/>
      <c r="C937" s="63"/>
      <c r="D937" s="63"/>
      <c r="E937" s="326"/>
      <c r="F937" s="63"/>
    </row>
    <row r="938" spans="1:6" ht="20.399999999999999">
      <c r="A938" s="323"/>
      <c r="B938" s="63"/>
      <c r="C938" s="63"/>
      <c r="D938" s="63"/>
      <c r="E938" s="326"/>
      <c r="F938" s="63"/>
    </row>
    <row r="939" spans="1:6" ht="20.399999999999999">
      <c r="A939" s="323"/>
      <c r="B939" s="63"/>
      <c r="C939" s="63"/>
      <c r="D939" s="63"/>
      <c r="E939" s="326"/>
      <c r="F939" s="63"/>
    </row>
    <row r="940" spans="1:6" ht="20.399999999999999">
      <c r="A940" s="323"/>
      <c r="B940" s="63"/>
      <c r="C940" s="63"/>
      <c r="D940" s="63"/>
      <c r="E940" s="326"/>
      <c r="F940" s="63"/>
    </row>
    <row r="941" spans="1:6" ht="20.399999999999999">
      <c r="A941" s="323"/>
      <c r="B941" s="63"/>
      <c r="C941" s="63"/>
      <c r="D941" s="63"/>
      <c r="E941" s="326"/>
      <c r="F941" s="63"/>
    </row>
    <row r="942" spans="1:6" ht="20.399999999999999">
      <c r="A942" s="323"/>
      <c r="B942" s="63"/>
      <c r="C942" s="63"/>
      <c r="D942" s="63"/>
      <c r="E942" s="326"/>
      <c r="F942" s="63"/>
    </row>
    <row r="943" spans="1:6" ht="20.399999999999999">
      <c r="A943" s="323"/>
      <c r="B943" s="63"/>
      <c r="C943" s="63"/>
      <c r="D943" s="63"/>
      <c r="E943" s="326"/>
      <c r="F943" s="63"/>
    </row>
    <row r="944" spans="1:6" ht="20.399999999999999">
      <c r="A944" s="323"/>
      <c r="B944" s="63"/>
      <c r="C944" s="63"/>
      <c r="D944" s="63"/>
      <c r="E944" s="326"/>
      <c r="F944" s="63"/>
    </row>
    <row r="945" spans="1:6" ht="20.399999999999999">
      <c r="A945" s="323"/>
      <c r="B945" s="63"/>
      <c r="C945" s="63"/>
      <c r="D945" s="63"/>
      <c r="E945" s="326"/>
      <c r="F945" s="63"/>
    </row>
    <row r="946" spans="1:6" ht="20.399999999999999">
      <c r="A946" s="323"/>
      <c r="B946" s="63"/>
      <c r="C946" s="63"/>
      <c r="D946" s="63"/>
      <c r="E946" s="326"/>
      <c r="F946" s="63"/>
    </row>
    <row r="947" spans="1:6" ht="20.399999999999999">
      <c r="A947" s="323"/>
      <c r="B947" s="63"/>
      <c r="C947" s="63"/>
      <c r="D947" s="63"/>
      <c r="E947" s="326"/>
      <c r="F947" s="63"/>
    </row>
    <row r="948" spans="1:6" ht="20.399999999999999">
      <c r="A948" s="323"/>
      <c r="B948" s="63"/>
      <c r="C948" s="63"/>
      <c r="D948" s="63"/>
      <c r="E948" s="326"/>
      <c r="F948" s="63"/>
    </row>
    <row r="949" spans="1:6" ht="20.399999999999999">
      <c r="A949" s="323"/>
      <c r="B949" s="63"/>
      <c r="C949" s="63"/>
      <c r="D949" s="63"/>
      <c r="E949" s="326"/>
      <c r="F949" s="63"/>
    </row>
    <row r="950" spans="1:6" ht="20.399999999999999">
      <c r="A950" s="323"/>
      <c r="B950" s="63"/>
      <c r="C950" s="63"/>
      <c r="D950" s="63"/>
      <c r="E950" s="326"/>
      <c r="F950" s="63"/>
    </row>
    <row r="951" spans="1:6" ht="20.399999999999999">
      <c r="A951" s="323"/>
      <c r="B951" s="63"/>
      <c r="C951" s="63"/>
      <c r="D951" s="63"/>
      <c r="E951" s="326"/>
      <c r="F951" s="63"/>
    </row>
    <row r="952" spans="1:6" ht="20.399999999999999">
      <c r="A952" s="323"/>
      <c r="B952" s="63"/>
      <c r="C952" s="63"/>
      <c r="D952" s="63"/>
      <c r="E952" s="326"/>
      <c r="F952" s="63"/>
    </row>
    <row r="953" spans="1:6" ht="20.399999999999999">
      <c r="A953" s="323"/>
      <c r="B953" s="63"/>
      <c r="C953" s="63"/>
      <c r="D953" s="63"/>
      <c r="E953" s="326"/>
      <c r="F953" s="63"/>
    </row>
    <row r="954" spans="1:6" ht="20.399999999999999">
      <c r="A954" s="323"/>
      <c r="B954" s="63"/>
      <c r="C954" s="63"/>
      <c r="D954" s="63"/>
      <c r="E954" s="326"/>
      <c r="F954" s="63"/>
    </row>
    <row r="955" spans="1:6" ht="20.399999999999999">
      <c r="A955" s="323"/>
      <c r="B955" s="63"/>
      <c r="C955" s="63"/>
      <c r="D955" s="63"/>
      <c r="E955" s="326"/>
      <c r="F955" s="63"/>
    </row>
    <row r="956" spans="1:6" ht="20.399999999999999">
      <c r="A956" s="323"/>
      <c r="B956" s="63"/>
      <c r="C956" s="63"/>
      <c r="D956" s="63"/>
      <c r="E956" s="326"/>
      <c r="F956" s="63"/>
    </row>
    <row r="957" spans="1:6" ht="20.399999999999999">
      <c r="A957" s="323"/>
      <c r="B957" s="63"/>
      <c r="C957" s="63"/>
      <c r="D957" s="63"/>
      <c r="E957" s="326"/>
      <c r="F957" s="63"/>
    </row>
    <row r="958" spans="1:6" ht="20.399999999999999">
      <c r="A958" s="323"/>
      <c r="B958" s="63"/>
      <c r="C958" s="63"/>
      <c r="D958" s="63"/>
      <c r="E958" s="326"/>
      <c r="F958" s="63"/>
    </row>
    <row r="959" spans="1:6" ht="20.399999999999999">
      <c r="A959" s="323"/>
      <c r="B959" s="63"/>
      <c r="C959" s="63"/>
      <c r="D959" s="63"/>
      <c r="E959" s="326"/>
      <c r="F959" s="63"/>
    </row>
    <row r="960" spans="1:6" ht="20.399999999999999">
      <c r="A960" s="323"/>
      <c r="B960" s="63"/>
      <c r="C960" s="63"/>
      <c r="D960" s="63"/>
      <c r="E960" s="326"/>
      <c r="F960" s="63"/>
    </row>
    <row r="961" spans="1:6" ht="20.399999999999999">
      <c r="A961" s="323"/>
      <c r="B961" s="63"/>
      <c r="C961" s="63"/>
      <c r="D961" s="63"/>
      <c r="E961" s="326"/>
      <c r="F961" s="63"/>
    </row>
    <row r="962" spans="1:6" ht="20.399999999999999">
      <c r="A962" s="323"/>
      <c r="B962" s="63"/>
      <c r="C962" s="63"/>
      <c r="D962" s="63"/>
      <c r="E962" s="326"/>
      <c r="F962" s="63"/>
    </row>
    <row r="963" spans="1:6" ht="20.399999999999999">
      <c r="A963" s="323"/>
      <c r="B963" s="63"/>
      <c r="C963" s="63"/>
      <c r="D963" s="63"/>
      <c r="E963" s="326"/>
      <c r="F963" s="63"/>
    </row>
    <row r="964" spans="1:6" ht="20.399999999999999">
      <c r="A964" s="323"/>
      <c r="B964" s="63"/>
      <c r="C964" s="63"/>
      <c r="D964" s="63"/>
      <c r="E964" s="326"/>
      <c r="F964" s="63"/>
    </row>
    <row r="965" spans="1:6" ht="20.399999999999999">
      <c r="A965" s="323"/>
      <c r="B965" s="63"/>
      <c r="C965" s="63"/>
      <c r="D965" s="63"/>
      <c r="E965" s="326"/>
      <c r="F965" s="63"/>
    </row>
    <row r="966" spans="1:6" ht="20.399999999999999">
      <c r="A966" s="323"/>
      <c r="B966" s="63"/>
      <c r="C966" s="63"/>
      <c r="D966" s="63"/>
      <c r="E966" s="326"/>
      <c r="F966" s="63"/>
    </row>
    <row r="967" spans="1:6" ht="20.399999999999999">
      <c r="A967" s="323"/>
      <c r="B967" s="63"/>
      <c r="C967" s="63"/>
      <c r="D967" s="63"/>
      <c r="E967" s="326"/>
      <c r="F967" s="63"/>
    </row>
    <row r="968" spans="1:6" ht="20.399999999999999">
      <c r="A968" s="323"/>
      <c r="B968" s="63"/>
      <c r="C968" s="63"/>
      <c r="D968" s="63"/>
      <c r="E968" s="326"/>
      <c r="F968" s="63"/>
    </row>
    <row r="969" spans="1:6" ht="20.399999999999999">
      <c r="A969" s="323"/>
      <c r="B969" s="63"/>
      <c r="C969" s="63"/>
      <c r="D969" s="63"/>
      <c r="E969" s="326"/>
      <c r="F969" s="63"/>
    </row>
    <row r="970" spans="1:6" ht="20.399999999999999">
      <c r="A970" s="323"/>
      <c r="B970" s="63"/>
      <c r="C970" s="63"/>
      <c r="D970" s="63"/>
      <c r="E970" s="326"/>
      <c r="F970" s="63"/>
    </row>
    <row r="971" spans="1:6" ht="20.399999999999999">
      <c r="A971" s="323"/>
      <c r="B971" s="63"/>
      <c r="C971" s="63"/>
      <c r="D971" s="63"/>
      <c r="E971" s="326"/>
      <c r="F971" s="63"/>
    </row>
    <row r="972" spans="1:6" ht="20.399999999999999">
      <c r="A972" s="323"/>
      <c r="B972" s="63"/>
      <c r="C972" s="63"/>
      <c r="D972" s="63"/>
      <c r="E972" s="326"/>
      <c r="F972" s="63"/>
    </row>
    <row r="973" spans="1:6" ht="20.399999999999999">
      <c r="A973" s="323"/>
      <c r="B973" s="63"/>
      <c r="C973" s="63"/>
      <c r="D973" s="63"/>
      <c r="E973" s="326"/>
      <c r="F973" s="63"/>
    </row>
    <row r="974" spans="1:6" ht="20.399999999999999">
      <c r="A974" s="323"/>
      <c r="B974" s="63"/>
      <c r="C974" s="63"/>
      <c r="D974" s="63"/>
      <c r="E974" s="326"/>
      <c r="F974" s="63"/>
    </row>
    <row r="975" spans="1:6" ht="20.399999999999999">
      <c r="A975" s="323"/>
      <c r="B975" s="63"/>
      <c r="C975" s="63"/>
      <c r="D975" s="63"/>
      <c r="E975" s="326"/>
      <c r="F975" s="63"/>
    </row>
    <row r="976" spans="1:6" ht="20.399999999999999">
      <c r="A976" s="323"/>
      <c r="B976" s="63"/>
      <c r="C976" s="63"/>
      <c r="D976" s="63"/>
      <c r="E976" s="326"/>
      <c r="F976" s="63"/>
    </row>
    <row r="977" spans="1:6" ht="20.399999999999999">
      <c r="A977" s="323"/>
      <c r="B977" s="63"/>
      <c r="C977" s="63"/>
      <c r="D977" s="63"/>
      <c r="E977" s="326"/>
      <c r="F977" s="63"/>
    </row>
    <row r="978" spans="1:6" ht="20.399999999999999">
      <c r="A978" s="323"/>
      <c r="B978" s="63"/>
      <c r="C978" s="63"/>
      <c r="D978" s="63"/>
      <c r="E978" s="326"/>
      <c r="F978" s="63"/>
    </row>
    <row r="979" spans="1:6" ht="20.399999999999999">
      <c r="A979" s="323"/>
      <c r="B979" s="63"/>
      <c r="C979" s="63"/>
      <c r="D979" s="63"/>
      <c r="E979" s="326"/>
      <c r="F979" s="63"/>
    </row>
    <row r="980" spans="1:6" ht="20.399999999999999">
      <c r="A980" s="323"/>
      <c r="B980" s="63"/>
      <c r="C980" s="63"/>
      <c r="D980" s="63"/>
      <c r="E980" s="326"/>
      <c r="F980" s="63"/>
    </row>
    <row r="981" spans="1:6" ht="20.399999999999999">
      <c r="A981" s="323"/>
      <c r="B981" s="63"/>
      <c r="C981" s="63"/>
      <c r="D981" s="63"/>
      <c r="E981" s="326"/>
      <c r="F981" s="63"/>
    </row>
    <row r="982" spans="1:6" ht="20.399999999999999">
      <c r="A982" s="323"/>
      <c r="B982" s="63"/>
      <c r="C982" s="63"/>
      <c r="D982" s="63"/>
      <c r="E982" s="326"/>
      <c r="F982" s="63"/>
    </row>
    <row r="983" spans="1:6" ht="20.399999999999999">
      <c r="A983" s="323"/>
      <c r="B983" s="63"/>
      <c r="C983" s="63"/>
      <c r="D983" s="63"/>
      <c r="E983" s="326"/>
      <c r="F983" s="63"/>
    </row>
    <row r="984" spans="1:6" ht="20.399999999999999">
      <c r="A984" s="323"/>
      <c r="B984" s="63"/>
      <c r="C984" s="63"/>
      <c r="D984" s="63"/>
      <c r="E984" s="326"/>
      <c r="F984" s="63"/>
    </row>
    <row r="985" spans="1:6" ht="20.399999999999999">
      <c r="A985" s="323"/>
      <c r="B985" s="63"/>
      <c r="C985" s="63"/>
      <c r="D985" s="63"/>
      <c r="E985" s="326"/>
      <c r="F985" s="63"/>
    </row>
    <row r="986" spans="1:6" ht="20.399999999999999">
      <c r="A986" s="323"/>
      <c r="B986" s="63"/>
      <c r="C986" s="63"/>
      <c r="D986" s="63"/>
      <c r="E986" s="326"/>
      <c r="F986" s="63"/>
    </row>
    <row r="987" spans="1:6" ht="20.399999999999999">
      <c r="A987" s="323"/>
      <c r="B987" s="63"/>
      <c r="C987" s="63"/>
      <c r="D987" s="63"/>
      <c r="E987" s="326"/>
      <c r="F987" s="63"/>
    </row>
    <row r="988" spans="1:6" ht="20.399999999999999">
      <c r="A988" s="323"/>
      <c r="B988" s="63"/>
      <c r="C988" s="63"/>
      <c r="D988" s="63"/>
      <c r="E988" s="326"/>
      <c r="F988" s="63"/>
    </row>
    <row r="989" spans="1:6" ht="20.399999999999999">
      <c r="A989" s="323"/>
      <c r="B989" s="63"/>
      <c r="C989" s="63"/>
      <c r="D989" s="63"/>
      <c r="E989" s="326"/>
      <c r="F989" s="63"/>
    </row>
    <row r="990" spans="1:6" ht="20.399999999999999">
      <c r="A990" s="323"/>
      <c r="B990" s="63"/>
      <c r="C990" s="63"/>
      <c r="D990" s="63"/>
      <c r="E990" s="326"/>
      <c r="F990" s="63"/>
    </row>
    <row r="991" spans="1:6" ht="20.399999999999999">
      <c r="A991" s="323"/>
      <c r="B991" s="63"/>
      <c r="C991" s="63"/>
      <c r="D991" s="63"/>
      <c r="E991" s="326"/>
      <c r="F991" s="63"/>
    </row>
    <row r="992" spans="1:6" ht="20.399999999999999">
      <c r="A992" s="323"/>
      <c r="B992" s="63"/>
      <c r="C992" s="63"/>
      <c r="D992" s="63"/>
      <c r="E992" s="326"/>
      <c r="F992" s="63"/>
    </row>
    <row r="993" spans="1:6" ht="20.399999999999999">
      <c r="A993" s="323"/>
      <c r="B993" s="63"/>
      <c r="C993" s="63"/>
      <c r="D993" s="63"/>
      <c r="E993" s="326"/>
      <c r="F993" s="63"/>
    </row>
    <row r="994" spans="1:6" ht="20.399999999999999">
      <c r="A994" s="323"/>
      <c r="B994" s="63"/>
      <c r="C994" s="63"/>
      <c r="D994" s="63"/>
      <c r="E994" s="326"/>
      <c r="F994" s="63"/>
    </row>
    <row r="995" spans="1:6" ht="20.399999999999999">
      <c r="A995" s="323"/>
      <c r="B995" s="63"/>
      <c r="C995" s="63"/>
      <c r="D995" s="63"/>
      <c r="E995" s="326"/>
      <c r="F995" s="63"/>
    </row>
    <row r="996" spans="1:6" ht="20.399999999999999">
      <c r="A996" s="323"/>
      <c r="B996" s="63"/>
      <c r="C996" s="63"/>
      <c r="D996" s="63"/>
      <c r="E996" s="326"/>
      <c r="F996" s="63"/>
    </row>
    <row r="997" spans="1:6" ht="20.399999999999999">
      <c r="A997" s="323"/>
      <c r="B997" s="63"/>
      <c r="C997" s="63"/>
      <c r="D997" s="63"/>
      <c r="E997" s="326"/>
      <c r="F997" s="63"/>
    </row>
    <row r="998" spans="1:6" ht="20.399999999999999">
      <c r="A998" s="323"/>
      <c r="B998" s="63"/>
      <c r="C998" s="63"/>
      <c r="D998" s="63"/>
      <c r="E998" s="326"/>
      <c r="F998" s="63"/>
    </row>
    <row r="999" spans="1:6" ht="20.399999999999999">
      <c r="A999" s="323"/>
      <c r="B999" s="63"/>
      <c r="C999" s="63"/>
      <c r="D999" s="63"/>
      <c r="E999" s="326"/>
      <c r="F999" s="63"/>
    </row>
    <row r="1000" spans="1:6" ht="20.399999999999999">
      <c r="A1000" s="323"/>
      <c r="B1000" s="63"/>
      <c r="C1000" s="63"/>
      <c r="D1000" s="63"/>
      <c r="E1000" s="326"/>
      <c r="F1000" s="63"/>
    </row>
    <row r="1001" spans="1:6" ht="20.399999999999999">
      <c r="A1001" s="323"/>
      <c r="B1001" s="63"/>
      <c r="C1001" s="63"/>
      <c r="D1001" s="63"/>
      <c r="E1001" s="326"/>
      <c r="F1001" s="63"/>
    </row>
    <row r="1002" spans="1:6" ht="20.399999999999999">
      <c r="A1002" s="323"/>
      <c r="B1002" s="63"/>
      <c r="C1002" s="63"/>
      <c r="D1002" s="63"/>
      <c r="E1002" s="326"/>
      <c r="F1002" s="63"/>
    </row>
    <row r="1003" spans="1:6" ht="20.399999999999999">
      <c r="A1003" s="323"/>
      <c r="B1003" s="63"/>
      <c r="C1003" s="63"/>
      <c r="D1003" s="63"/>
      <c r="E1003" s="326"/>
      <c r="F1003" s="63"/>
    </row>
    <row r="1004" spans="1:6" ht="20.399999999999999">
      <c r="A1004" s="323"/>
      <c r="B1004" s="63"/>
      <c r="C1004" s="63"/>
      <c r="D1004" s="63"/>
      <c r="E1004" s="326"/>
      <c r="F1004" s="63"/>
    </row>
    <row r="1005" spans="1:6" ht="20.399999999999999">
      <c r="A1005" s="323"/>
      <c r="B1005" s="63"/>
      <c r="C1005" s="63"/>
      <c r="D1005" s="63"/>
      <c r="E1005" s="326"/>
      <c r="F1005" s="63"/>
    </row>
    <row r="1006" spans="1:6" ht="20.399999999999999">
      <c r="A1006" s="323"/>
      <c r="B1006" s="63"/>
      <c r="C1006" s="63"/>
      <c r="D1006" s="63"/>
      <c r="E1006" s="326"/>
      <c r="F1006" s="63"/>
    </row>
    <row r="1007" spans="1:6" ht="20.399999999999999">
      <c r="A1007" s="323"/>
      <c r="B1007" s="63"/>
      <c r="C1007" s="63"/>
      <c r="D1007" s="63"/>
      <c r="E1007" s="326"/>
      <c r="F1007" s="63"/>
    </row>
    <row r="1008" spans="1:6" ht="20.399999999999999">
      <c r="A1008" s="323"/>
      <c r="B1008" s="63"/>
      <c r="C1008" s="63"/>
      <c r="D1008" s="63"/>
      <c r="E1008" s="326"/>
      <c r="F1008" s="63"/>
    </row>
    <row r="1009" spans="1:6" ht="20.399999999999999">
      <c r="A1009" s="323"/>
      <c r="B1009" s="63"/>
      <c r="C1009" s="63"/>
      <c r="D1009" s="63"/>
      <c r="E1009" s="326"/>
      <c r="F1009" s="63"/>
    </row>
    <row r="1010" spans="1:6" ht="20.399999999999999">
      <c r="A1010" s="323"/>
      <c r="B1010" s="63"/>
      <c r="C1010" s="63"/>
      <c r="D1010" s="63"/>
      <c r="E1010" s="326"/>
      <c r="F1010" s="63"/>
    </row>
    <row r="1011" spans="1:6" ht="20.399999999999999">
      <c r="A1011" s="323"/>
      <c r="B1011" s="63"/>
      <c r="C1011" s="63"/>
      <c r="D1011" s="63"/>
      <c r="E1011" s="326"/>
      <c r="F1011" s="63"/>
    </row>
    <row r="1012" spans="1:6" ht="20.399999999999999">
      <c r="A1012" s="323"/>
      <c r="B1012" s="63"/>
      <c r="C1012" s="63"/>
      <c r="D1012" s="63"/>
      <c r="E1012" s="326"/>
      <c r="F1012" s="63"/>
    </row>
    <row r="1013" spans="1:6" ht="20.399999999999999">
      <c r="A1013" s="323"/>
      <c r="B1013" s="63"/>
      <c r="C1013" s="63"/>
      <c r="D1013" s="63"/>
      <c r="E1013" s="326"/>
      <c r="F1013" s="63"/>
    </row>
    <row r="1014" spans="1:6" ht="20.399999999999999">
      <c r="A1014" s="323"/>
      <c r="B1014" s="63"/>
      <c r="C1014" s="63"/>
      <c r="D1014" s="63"/>
      <c r="E1014" s="326"/>
      <c r="F1014" s="63"/>
    </row>
    <row r="1015" spans="1:6" ht="20.399999999999999">
      <c r="A1015" s="323"/>
      <c r="B1015" s="63"/>
      <c r="C1015" s="63"/>
      <c r="D1015" s="63"/>
      <c r="E1015" s="326"/>
      <c r="F1015" s="63"/>
    </row>
    <row r="1016" spans="1:6" ht="20.399999999999999">
      <c r="A1016" s="323"/>
      <c r="B1016" s="63"/>
      <c r="C1016" s="63"/>
      <c r="D1016" s="63"/>
      <c r="E1016" s="326"/>
      <c r="F1016" s="63"/>
    </row>
    <row r="1017" spans="1:6" ht="20.399999999999999">
      <c r="A1017" s="323"/>
      <c r="B1017" s="63"/>
      <c r="C1017" s="63"/>
      <c r="D1017" s="63"/>
      <c r="E1017" s="326"/>
      <c r="F1017" s="63"/>
    </row>
    <row r="1018" spans="1:6" ht="20.399999999999999">
      <c r="A1018" s="323"/>
      <c r="B1018" s="63"/>
      <c r="C1018" s="63"/>
      <c r="D1018" s="63"/>
      <c r="E1018" s="326"/>
      <c r="F1018" s="63"/>
    </row>
    <row r="1019" spans="1:6" ht="20.399999999999999">
      <c r="A1019" s="323"/>
      <c r="B1019" s="63"/>
      <c r="C1019" s="63"/>
      <c r="D1019" s="63"/>
      <c r="E1019" s="326"/>
      <c r="F1019" s="63"/>
    </row>
    <row r="1020" spans="1:6" ht="20.399999999999999">
      <c r="A1020" s="323"/>
      <c r="B1020" s="63"/>
      <c r="C1020" s="63"/>
      <c r="D1020" s="63"/>
      <c r="E1020" s="326"/>
      <c r="F1020" s="63"/>
    </row>
    <row r="1021" spans="1:6" ht="20.399999999999999">
      <c r="A1021" s="323"/>
      <c r="B1021" s="63"/>
      <c r="C1021" s="63"/>
      <c r="D1021" s="63"/>
      <c r="E1021" s="326"/>
      <c r="F1021" s="63"/>
    </row>
    <row r="1022" spans="1:6" ht="20.399999999999999">
      <c r="A1022" s="323"/>
      <c r="B1022" s="63"/>
      <c r="C1022" s="63"/>
      <c r="D1022" s="63"/>
      <c r="E1022" s="326"/>
      <c r="F1022" s="63"/>
    </row>
    <row r="1023" spans="1:6" ht="20.399999999999999">
      <c r="A1023" s="323"/>
      <c r="B1023" s="63"/>
      <c r="C1023" s="63"/>
      <c r="D1023" s="63"/>
      <c r="E1023" s="326"/>
      <c r="F1023" s="63"/>
    </row>
    <row r="1024" spans="1:6" ht="20.399999999999999">
      <c r="A1024" s="323"/>
      <c r="B1024" s="63"/>
      <c r="C1024" s="63"/>
      <c r="D1024" s="63"/>
      <c r="E1024" s="326"/>
      <c r="F1024" s="63"/>
    </row>
    <row r="1025" spans="1:6" ht="20.399999999999999">
      <c r="A1025" s="323"/>
      <c r="B1025" s="63"/>
      <c r="C1025" s="63"/>
      <c r="D1025" s="63"/>
      <c r="E1025" s="326"/>
      <c r="F1025" s="63"/>
    </row>
    <row r="1026" spans="1:6" ht="20.399999999999999">
      <c r="A1026" s="323"/>
      <c r="B1026" s="63"/>
      <c r="C1026" s="63"/>
      <c r="D1026" s="63"/>
      <c r="E1026" s="326"/>
      <c r="F1026" s="63"/>
    </row>
    <row r="1027" spans="1:6" ht="20.399999999999999">
      <c r="A1027" s="323"/>
      <c r="B1027" s="63"/>
      <c r="C1027" s="63"/>
      <c r="D1027" s="63"/>
      <c r="E1027" s="326"/>
      <c r="F1027" s="63"/>
    </row>
    <row r="1028" spans="1:6" ht="20.399999999999999">
      <c r="A1028" s="323"/>
      <c r="B1028" s="63"/>
      <c r="C1028" s="63"/>
      <c r="D1028" s="63"/>
      <c r="E1028" s="326"/>
      <c r="F1028" s="63"/>
    </row>
    <row r="1029" spans="1:6" ht="20.399999999999999">
      <c r="A1029" s="323"/>
      <c r="B1029" s="63"/>
      <c r="C1029" s="63"/>
      <c r="D1029" s="63"/>
      <c r="E1029" s="326"/>
      <c r="F1029" s="63"/>
    </row>
    <row r="1030" spans="1:6" ht="20.399999999999999">
      <c r="A1030" s="323"/>
      <c r="B1030" s="63"/>
      <c r="C1030" s="63"/>
      <c r="D1030" s="63"/>
      <c r="E1030" s="326"/>
      <c r="F1030" s="63"/>
    </row>
    <row r="1031" spans="1:6" ht="20.399999999999999">
      <c r="A1031" s="323"/>
      <c r="B1031" s="63"/>
      <c r="C1031" s="63"/>
      <c r="D1031" s="63"/>
      <c r="E1031" s="326"/>
      <c r="F1031" s="63"/>
    </row>
    <row r="1032" spans="1:6" ht="20.399999999999999">
      <c r="A1032" s="323"/>
      <c r="B1032" s="63"/>
      <c r="C1032" s="63"/>
      <c r="D1032" s="63"/>
      <c r="E1032" s="326"/>
      <c r="F1032" s="63"/>
    </row>
    <row r="1033" spans="1:6" ht="20.399999999999999">
      <c r="A1033" s="323"/>
      <c r="B1033" s="63"/>
      <c r="C1033" s="63"/>
      <c r="D1033" s="63"/>
      <c r="E1033" s="326"/>
      <c r="F1033" s="63"/>
    </row>
    <row r="1034" spans="1:6" ht="20.399999999999999">
      <c r="A1034" s="323"/>
      <c r="B1034" s="63"/>
      <c r="C1034" s="63"/>
      <c r="D1034" s="63"/>
      <c r="E1034" s="326"/>
      <c r="F1034" s="63"/>
    </row>
    <row r="1035" spans="1:6" ht="20.399999999999999">
      <c r="A1035" s="323"/>
      <c r="B1035" s="63"/>
      <c r="C1035" s="63"/>
      <c r="D1035" s="63"/>
      <c r="E1035" s="326"/>
      <c r="F1035" s="63"/>
    </row>
    <row r="1036" spans="1:6" ht="20.399999999999999">
      <c r="A1036" s="323"/>
      <c r="B1036" s="63"/>
      <c r="C1036" s="63"/>
      <c r="D1036" s="63"/>
      <c r="E1036" s="326"/>
      <c r="F1036" s="63"/>
    </row>
    <row r="1037" spans="1:6" ht="20.399999999999999">
      <c r="A1037" s="323"/>
      <c r="B1037" s="63"/>
      <c r="C1037" s="63"/>
      <c r="D1037" s="63"/>
      <c r="E1037" s="326"/>
      <c r="F1037" s="63"/>
    </row>
    <row r="1038" spans="1:6" ht="20.399999999999999">
      <c r="A1038" s="323"/>
      <c r="B1038" s="63"/>
      <c r="C1038" s="63"/>
      <c r="D1038" s="63"/>
      <c r="E1038" s="326"/>
      <c r="F1038" s="63"/>
    </row>
    <row r="1039" spans="1:6" ht="20.399999999999999">
      <c r="A1039" s="323"/>
      <c r="B1039" s="63"/>
      <c r="C1039" s="63"/>
      <c r="D1039" s="63"/>
      <c r="E1039" s="326"/>
      <c r="F1039" s="63"/>
    </row>
    <row r="1040" spans="1:6" ht="20.399999999999999">
      <c r="A1040" s="323"/>
      <c r="B1040" s="63"/>
      <c r="C1040" s="63"/>
      <c r="D1040" s="63"/>
      <c r="E1040" s="326"/>
      <c r="F1040" s="63"/>
    </row>
    <row r="1041" spans="1:6" ht="20.399999999999999">
      <c r="A1041" s="323"/>
      <c r="B1041" s="63"/>
      <c r="C1041" s="63"/>
      <c r="D1041" s="63"/>
      <c r="E1041" s="326"/>
      <c r="F1041" s="63"/>
    </row>
    <row r="1042" spans="1:6" ht="20.399999999999999">
      <c r="A1042" s="323"/>
      <c r="B1042" s="63"/>
      <c r="C1042" s="63"/>
      <c r="D1042" s="63"/>
      <c r="E1042" s="326"/>
      <c r="F1042" s="63"/>
    </row>
    <row r="1043" spans="1:6" ht="20.399999999999999">
      <c r="A1043" s="323"/>
      <c r="B1043" s="63"/>
      <c r="C1043" s="63"/>
      <c r="D1043" s="63"/>
      <c r="E1043" s="326"/>
      <c r="F1043" s="63"/>
    </row>
    <row r="1044" spans="1:6" ht="20.399999999999999">
      <c r="A1044" s="323"/>
      <c r="B1044" s="63"/>
      <c r="C1044" s="63"/>
      <c r="D1044" s="63"/>
      <c r="E1044" s="326"/>
      <c r="F1044" s="63"/>
    </row>
    <row r="1045" spans="1:6" ht="20.399999999999999">
      <c r="A1045" s="323"/>
      <c r="B1045" s="63"/>
      <c r="C1045" s="63"/>
      <c r="D1045" s="63"/>
      <c r="E1045" s="326"/>
      <c r="F1045" s="63"/>
    </row>
    <row r="1046" spans="1:6" ht="20.399999999999999">
      <c r="A1046" s="323"/>
      <c r="B1046" s="63"/>
      <c r="C1046" s="63"/>
      <c r="D1046" s="63"/>
      <c r="E1046" s="326"/>
      <c r="F1046" s="63"/>
    </row>
    <row r="1047" spans="1:6" ht="20.399999999999999">
      <c r="A1047" s="323"/>
      <c r="B1047" s="63"/>
      <c r="C1047" s="63"/>
      <c r="D1047" s="63"/>
      <c r="E1047" s="326"/>
      <c r="F1047" s="63"/>
    </row>
    <row r="1048" spans="1:6" ht="20.399999999999999">
      <c r="A1048" s="323"/>
      <c r="B1048" s="63"/>
      <c r="C1048" s="63"/>
      <c r="D1048" s="63"/>
      <c r="E1048" s="326"/>
      <c r="F1048" s="63"/>
    </row>
    <row r="1049" spans="1:6" ht="20.399999999999999">
      <c r="A1049" s="323"/>
      <c r="B1049" s="63"/>
      <c r="C1049" s="63"/>
      <c r="D1049" s="63"/>
      <c r="E1049" s="326"/>
      <c r="F1049" s="63"/>
    </row>
    <row r="1050" spans="1:6" ht="20.399999999999999">
      <c r="A1050" s="323"/>
      <c r="B1050" s="63"/>
      <c r="C1050" s="63"/>
      <c r="D1050" s="63"/>
      <c r="E1050" s="326"/>
      <c r="F1050" s="63"/>
    </row>
    <row r="1051" spans="1:6" ht="20.399999999999999">
      <c r="A1051" s="323"/>
      <c r="B1051" s="63"/>
      <c r="C1051" s="63"/>
      <c r="D1051" s="63"/>
      <c r="E1051" s="326"/>
      <c r="F1051" s="63"/>
    </row>
    <row r="1052" spans="1:6" ht="20.399999999999999">
      <c r="A1052" s="323"/>
      <c r="B1052" s="63"/>
      <c r="C1052" s="63"/>
      <c r="D1052" s="63"/>
      <c r="E1052" s="326"/>
      <c r="F1052" s="63"/>
    </row>
    <row r="1053" spans="1:6" ht="20.399999999999999">
      <c r="A1053" s="323"/>
      <c r="B1053" s="63"/>
      <c r="C1053" s="63"/>
      <c r="D1053" s="63"/>
      <c r="E1053" s="326"/>
      <c r="F1053" s="63"/>
    </row>
    <row r="1054" spans="1:6" ht="20.399999999999999">
      <c r="A1054" s="323"/>
      <c r="B1054" s="63"/>
      <c r="C1054" s="63"/>
      <c r="D1054" s="63"/>
      <c r="E1054" s="326"/>
      <c r="F1054" s="63"/>
    </row>
    <row r="1055" spans="1:6" ht="20.399999999999999">
      <c r="A1055" s="323"/>
      <c r="B1055" s="63"/>
      <c r="C1055" s="63"/>
      <c r="D1055" s="63"/>
      <c r="E1055" s="326"/>
      <c r="F1055" s="63"/>
    </row>
    <row r="1056" spans="1:6" ht="20.399999999999999">
      <c r="A1056" s="323"/>
      <c r="B1056" s="63"/>
      <c r="C1056" s="63"/>
      <c r="D1056" s="63"/>
      <c r="E1056" s="326"/>
      <c r="F1056" s="63"/>
    </row>
    <row r="1057" spans="1:6" ht="20.399999999999999">
      <c r="A1057" s="323"/>
      <c r="B1057" s="63"/>
      <c r="C1057" s="63"/>
      <c r="D1057" s="63"/>
      <c r="E1057" s="326"/>
      <c r="F1057" s="63"/>
    </row>
    <row r="1058" spans="1:6" ht="20.399999999999999">
      <c r="A1058" s="323"/>
      <c r="B1058" s="63"/>
      <c r="C1058" s="63"/>
      <c r="D1058" s="63"/>
      <c r="E1058" s="326"/>
      <c r="F1058" s="63"/>
    </row>
    <row r="1059" spans="1:6" ht="20.399999999999999">
      <c r="A1059" s="323"/>
      <c r="B1059" s="63"/>
      <c r="C1059" s="63"/>
      <c r="D1059" s="63"/>
      <c r="E1059" s="326"/>
      <c r="F1059" s="63"/>
    </row>
    <row r="1060" spans="1:6" ht="20.399999999999999">
      <c r="A1060" s="323"/>
      <c r="B1060" s="63"/>
      <c r="C1060" s="63"/>
      <c r="D1060" s="63"/>
      <c r="E1060" s="326"/>
      <c r="F1060" s="63"/>
    </row>
    <row r="1061" spans="1:6" ht="20.399999999999999">
      <c r="A1061" s="323"/>
      <c r="B1061" s="63"/>
      <c r="C1061" s="63"/>
      <c r="D1061" s="63"/>
      <c r="E1061" s="326"/>
      <c r="F1061" s="63"/>
    </row>
    <row r="1062" spans="1:6" ht="20.399999999999999">
      <c r="A1062" s="323"/>
      <c r="B1062" s="63"/>
      <c r="C1062" s="63"/>
      <c r="D1062" s="63"/>
      <c r="E1062" s="326"/>
      <c r="F1062" s="63"/>
    </row>
    <row r="1063" spans="1:6" ht="20.399999999999999">
      <c r="A1063" s="323"/>
      <c r="B1063" s="63"/>
      <c r="C1063" s="63"/>
      <c r="D1063" s="63"/>
      <c r="E1063" s="326"/>
      <c r="F1063" s="63"/>
    </row>
    <row r="1064" spans="1:6" ht="20.399999999999999">
      <c r="A1064" s="323"/>
      <c r="B1064" s="63"/>
      <c r="C1064" s="63"/>
      <c r="D1064" s="63"/>
      <c r="E1064" s="326"/>
      <c r="F1064" s="63"/>
    </row>
    <row r="1065" spans="1:6" ht="20.399999999999999">
      <c r="A1065" s="323"/>
      <c r="B1065" s="63"/>
      <c r="C1065" s="63"/>
      <c r="D1065" s="63"/>
      <c r="E1065" s="326"/>
      <c r="F1065" s="63"/>
    </row>
    <row r="1066" spans="1:6" ht="20.399999999999999">
      <c r="A1066" s="323"/>
      <c r="B1066" s="63"/>
      <c r="C1066" s="63"/>
      <c r="D1066" s="63"/>
      <c r="E1066" s="326"/>
      <c r="F1066" s="63"/>
    </row>
    <row r="1067" spans="1:6" ht="20.399999999999999">
      <c r="A1067" s="323"/>
      <c r="B1067" s="63"/>
      <c r="C1067" s="63"/>
      <c r="D1067" s="63"/>
      <c r="E1067" s="326"/>
      <c r="F1067" s="63"/>
    </row>
    <row r="1068" spans="1:6" ht="20.399999999999999">
      <c r="A1068" s="323"/>
      <c r="B1068" s="63"/>
      <c r="C1068" s="63"/>
      <c r="D1068" s="63"/>
      <c r="E1068" s="326"/>
      <c r="F1068" s="63"/>
    </row>
    <row r="1069" spans="1:6" ht="20.399999999999999">
      <c r="A1069" s="323"/>
      <c r="B1069" s="63"/>
      <c r="C1069" s="63"/>
      <c r="D1069" s="63"/>
      <c r="E1069" s="326"/>
      <c r="F1069" s="63"/>
    </row>
    <row r="1070" spans="1:6" ht="20.399999999999999">
      <c r="A1070" s="323"/>
      <c r="B1070" s="63"/>
      <c r="C1070" s="63"/>
      <c r="D1070" s="63"/>
      <c r="E1070" s="326"/>
      <c r="F1070" s="63"/>
    </row>
    <row r="1071" spans="1:6" ht="20.399999999999999">
      <c r="A1071" s="323"/>
      <c r="B1071" s="63"/>
      <c r="C1071" s="63"/>
      <c r="D1071" s="63"/>
      <c r="E1071" s="326"/>
      <c r="F1071" s="63"/>
    </row>
    <row r="1072" spans="1:6" ht="20.399999999999999">
      <c r="A1072" s="323"/>
      <c r="B1072" s="63"/>
      <c r="C1072" s="63"/>
      <c r="D1072" s="63"/>
      <c r="E1072" s="326"/>
      <c r="F1072" s="63"/>
    </row>
    <row r="1073" spans="1:6" ht="20.399999999999999">
      <c r="A1073" s="323"/>
      <c r="B1073" s="63"/>
      <c r="C1073" s="63"/>
      <c r="D1073" s="63"/>
      <c r="E1073" s="326"/>
      <c r="F1073" s="63"/>
    </row>
    <row r="1074" spans="1:6" ht="20.399999999999999">
      <c r="A1074" s="323"/>
      <c r="B1074" s="63"/>
      <c r="C1074" s="63"/>
      <c r="D1074" s="63"/>
      <c r="E1074" s="326"/>
      <c r="F1074" s="63"/>
    </row>
    <row r="1075" spans="1:6" ht="20.399999999999999">
      <c r="A1075" s="323"/>
      <c r="B1075" s="63"/>
      <c r="C1075" s="63"/>
      <c r="D1075" s="63"/>
      <c r="E1075" s="326"/>
      <c r="F1075" s="63"/>
    </row>
    <row r="1076" spans="1:6" ht="20.399999999999999">
      <c r="A1076" s="323"/>
      <c r="B1076" s="63"/>
      <c r="C1076" s="63"/>
      <c r="D1076" s="63"/>
      <c r="E1076" s="326"/>
      <c r="F1076" s="63"/>
    </row>
    <row r="1077" spans="1:6" ht="20.399999999999999">
      <c r="A1077" s="323"/>
      <c r="B1077" s="63"/>
      <c r="C1077" s="63"/>
      <c r="D1077" s="63"/>
      <c r="E1077" s="326"/>
      <c r="F1077" s="63"/>
    </row>
    <row r="1078" spans="1:6" ht="20.399999999999999">
      <c r="A1078" s="323"/>
      <c r="B1078" s="63"/>
      <c r="C1078" s="63"/>
      <c r="D1078" s="63"/>
      <c r="E1078" s="326"/>
      <c r="F1078" s="63"/>
    </row>
    <row r="1079" spans="1:6" ht="20.399999999999999">
      <c r="A1079" s="323"/>
      <c r="B1079" s="63"/>
      <c r="C1079" s="63"/>
      <c r="D1079" s="63"/>
      <c r="E1079" s="326"/>
      <c r="F1079" s="63"/>
    </row>
    <row r="1080" spans="1:6" ht="20.399999999999999">
      <c r="A1080" s="323"/>
      <c r="B1080" s="63"/>
      <c r="C1080" s="63"/>
      <c r="D1080" s="63"/>
      <c r="E1080" s="326"/>
      <c r="F1080" s="63"/>
    </row>
    <row r="1081" spans="1:6" ht="20.399999999999999">
      <c r="A1081" s="323"/>
      <c r="B1081" s="63"/>
      <c r="C1081" s="63"/>
      <c r="D1081" s="63"/>
      <c r="E1081" s="326"/>
      <c r="F1081" s="63"/>
    </row>
    <row r="1082" spans="1:6" ht="20.399999999999999">
      <c r="A1082" s="323"/>
      <c r="B1082" s="63"/>
      <c r="C1082" s="63"/>
      <c r="D1082" s="63"/>
      <c r="E1082" s="326"/>
      <c r="F1082" s="63"/>
    </row>
    <row r="1083" spans="1:6" ht="20.399999999999999">
      <c r="A1083" s="323"/>
      <c r="B1083" s="63"/>
      <c r="C1083" s="63"/>
      <c r="D1083" s="63"/>
      <c r="E1083" s="326"/>
      <c r="F1083" s="63"/>
    </row>
    <row r="1084" spans="1:6" ht="20.399999999999999">
      <c r="A1084" s="323"/>
      <c r="B1084" s="63"/>
      <c r="C1084" s="63"/>
      <c r="D1084" s="63"/>
      <c r="E1084" s="326"/>
      <c r="F1084" s="63"/>
    </row>
    <row r="1085" spans="1:6" ht="20.399999999999999">
      <c r="A1085" s="323"/>
      <c r="B1085" s="63"/>
      <c r="C1085" s="63"/>
      <c r="D1085" s="63"/>
      <c r="E1085" s="326"/>
      <c r="F1085" s="63"/>
    </row>
    <row r="1086" spans="1:6" ht="20.399999999999999">
      <c r="A1086" s="323"/>
      <c r="B1086" s="63"/>
      <c r="C1086" s="63"/>
      <c r="D1086" s="63"/>
      <c r="E1086" s="326"/>
      <c r="F1086" s="63"/>
    </row>
    <row r="1087" spans="1:6" ht="20.399999999999999">
      <c r="A1087" s="323"/>
      <c r="B1087" s="63"/>
      <c r="C1087" s="63"/>
      <c r="D1087" s="63"/>
      <c r="E1087" s="326"/>
      <c r="F1087" s="63"/>
    </row>
    <row r="1088" spans="1:6" ht="20.399999999999999">
      <c r="A1088" s="323"/>
      <c r="B1088" s="63"/>
      <c r="C1088" s="63"/>
      <c r="D1088" s="63"/>
      <c r="E1088" s="326"/>
      <c r="F1088" s="63"/>
    </row>
    <row r="1089" spans="1:6" ht="20.399999999999999">
      <c r="A1089" s="323"/>
      <c r="B1089" s="63"/>
      <c r="C1089" s="63"/>
      <c r="D1089" s="63"/>
      <c r="E1089" s="326"/>
      <c r="F1089" s="63"/>
    </row>
    <row r="1090" spans="1:6" ht="20.399999999999999">
      <c r="A1090" s="323"/>
      <c r="B1090" s="63"/>
      <c r="C1090" s="63"/>
      <c r="D1090" s="63"/>
      <c r="E1090" s="326"/>
      <c r="F1090" s="63"/>
    </row>
    <row r="1091" spans="1:6" ht="20.399999999999999">
      <c r="A1091" s="323"/>
      <c r="B1091" s="63"/>
      <c r="C1091" s="63"/>
      <c r="D1091" s="63"/>
      <c r="E1091" s="326"/>
      <c r="F1091" s="63"/>
    </row>
    <row r="1092" spans="1:6" ht="20.399999999999999">
      <c r="A1092" s="323"/>
      <c r="B1092" s="63"/>
      <c r="C1092" s="63"/>
      <c r="D1092" s="63"/>
      <c r="E1092" s="326"/>
      <c r="F1092" s="63"/>
    </row>
    <row r="1093" spans="1:6" ht="20.399999999999999">
      <c r="A1093" s="323"/>
      <c r="B1093" s="63"/>
      <c r="C1093" s="63"/>
      <c r="D1093" s="63"/>
      <c r="E1093" s="326"/>
      <c r="F1093" s="63"/>
    </row>
    <row r="1094" spans="1:6" ht="20.399999999999999">
      <c r="A1094" s="323"/>
      <c r="B1094" s="63"/>
      <c r="C1094" s="63"/>
      <c r="D1094" s="63"/>
      <c r="E1094" s="326"/>
      <c r="F1094" s="63"/>
    </row>
    <row r="1095" spans="1:6" ht="20.399999999999999">
      <c r="A1095" s="323"/>
      <c r="B1095" s="63"/>
      <c r="C1095" s="63"/>
      <c r="D1095" s="63"/>
      <c r="E1095" s="326"/>
      <c r="F1095" s="63"/>
    </row>
    <row r="1096" spans="1:6" ht="20.399999999999999">
      <c r="A1096" s="323"/>
      <c r="B1096" s="63"/>
      <c r="C1096" s="63"/>
      <c r="D1096" s="63"/>
      <c r="E1096" s="326"/>
      <c r="F1096" s="63"/>
    </row>
    <row r="1097" spans="1:6" ht="20.399999999999999">
      <c r="A1097" s="323"/>
      <c r="B1097" s="63"/>
      <c r="C1097" s="63"/>
      <c r="D1097" s="63"/>
      <c r="E1097" s="326"/>
      <c r="F1097" s="63"/>
    </row>
    <row r="1098" spans="1:6" ht="20.399999999999999">
      <c r="A1098" s="323"/>
      <c r="B1098" s="63"/>
      <c r="C1098" s="63"/>
      <c r="D1098" s="63"/>
      <c r="E1098" s="326"/>
      <c r="F1098" s="63"/>
    </row>
    <row r="1099" spans="1:6" ht="20.399999999999999">
      <c r="A1099" s="323"/>
      <c r="B1099" s="63"/>
      <c r="C1099" s="63"/>
      <c r="D1099" s="63"/>
      <c r="E1099" s="326"/>
      <c r="F1099" s="63"/>
    </row>
    <row r="1100" spans="1:6" ht="20.399999999999999">
      <c r="A1100" s="323"/>
      <c r="B1100" s="63"/>
      <c r="C1100" s="63"/>
      <c r="D1100" s="63"/>
      <c r="E1100" s="326"/>
      <c r="F1100" s="63"/>
    </row>
    <row r="1101" spans="1:6" ht="20.399999999999999">
      <c r="A1101" s="323"/>
      <c r="B1101" s="63"/>
      <c r="C1101" s="63"/>
      <c r="D1101" s="63"/>
      <c r="E1101" s="326"/>
      <c r="F1101" s="63"/>
    </row>
    <row r="1102" spans="1:6" ht="20.399999999999999">
      <c r="A1102" s="323"/>
      <c r="B1102" s="63"/>
      <c r="C1102" s="63"/>
      <c r="D1102" s="63"/>
      <c r="E1102" s="326"/>
      <c r="F1102" s="63"/>
    </row>
    <row r="1103" spans="1:6" ht="20.399999999999999">
      <c r="A1103" s="323"/>
      <c r="B1103" s="63"/>
      <c r="C1103" s="63"/>
      <c r="D1103" s="63"/>
      <c r="E1103" s="326"/>
      <c r="F1103" s="63"/>
    </row>
    <row r="1104" spans="1:6" ht="20.399999999999999">
      <c r="A1104" s="323"/>
      <c r="B1104" s="63"/>
      <c r="C1104" s="63"/>
      <c r="D1104" s="63"/>
      <c r="E1104" s="326"/>
      <c r="F1104" s="63"/>
    </row>
    <row r="1105" spans="1:6" ht="20.399999999999999">
      <c r="A1105" s="323"/>
      <c r="B1105" s="63"/>
      <c r="C1105" s="63"/>
      <c r="D1105" s="63"/>
      <c r="E1105" s="326"/>
      <c r="F1105" s="63"/>
    </row>
    <row r="1106" spans="1:6" ht="20.399999999999999">
      <c r="A1106" s="323"/>
      <c r="B1106" s="63"/>
      <c r="C1106" s="63"/>
      <c r="D1106" s="63"/>
      <c r="E1106" s="326"/>
      <c r="F1106" s="63"/>
    </row>
    <row r="1107" spans="1:6" ht="20.399999999999999">
      <c r="A1107" s="323"/>
      <c r="B1107" s="63"/>
      <c r="C1107" s="63"/>
      <c r="D1107" s="63"/>
      <c r="E1107" s="326"/>
      <c r="F1107" s="63"/>
    </row>
    <row r="1108" spans="1:6" ht="20.399999999999999">
      <c r="A1108" s="323"/>
      <c r="B1108" s="63"/>
      <c r="C1108" s="63"/>
      <c r="D1108" s="63"/>
      <c r="E1108" s="326"/>
      <c r="F1108" s="63"/>
    </row>
    <row r="1109" spans="1:6" ht="20.399999999999999">
      <c r="A1109" s="323"/>
      <c r="B1109" s="63"/>
      <c r="C1109" s="63"/>
      <c r="D1109" s="63"/>
      <c r="E1109" s="326"/>
      <c r="F1109" s="63"/>
    </row>
    <row r="1110" spans="1:6" ht="20.399999999999999">
      <c r="A1110" s="323"/>
      <c r="B1110" s="63"/>
      <c r="C1110" s="63"/>
      <c r="D1110" s="63"/>
      <c r="E1110" s="326"/>
      <c r="F1110" s="63"/>
    </row>
    <row r="1111" spans="1:6" ht="20.399999999999999">
      <c r="A1111" s="323"/>
      <c r="B1111" s="63"/>
      <c r="C1111" s="63"/>
      <c r="D1111" s="63"/>
      <c r="E1111" s="326"/>
      <c r="F1111" s="63"/>
    </row>
    <row r="1112" spans="1:6" ht="20.399999999999999">
      <c r="A1112" s="323"/>
      <c r="B1112" s="63"/>
      <c r="C1112" s="63"/>
      <c r="D1112" s="63"/>
      <c r="E1112" s="326"/>
      <c r="F1112" s="63"/>
    </row>
    <row r="1113" spans="1:6" ht="20.399999999999999">
      <c r="A1113" s="323"/>
      <c r="B1113" s="63"/>
      <c r="C1113" s="63"/>
      <c r="D1113" s="63"/>
      <c r="E1113" s="326"/>
      <c r="F1113" s="63"/>
    </row>
    <row r="1114" spans="1:6" ht="20.399999999999999">
      <c r="A1114" s="323"/>
      <c r="B1114" s="63"/>
      <c r="C1114" s="63"/>
      <c r="D1114" s="63"/>
      <c r="E1114" s="326"/>
      <c r="F1114" s="63"/>
    </row>
    <row r="1115" spans="1:6" ht="20.399999999999999">
      <c r="A1115" s="323"/>
      <c r="B1115" s="63"/>
      <c r="C1115" s="63"/>
      <c r="D1115" s="63"/>
      <c r="E1115" s="326"/>
      <c r="F1115" s="63"/>
    </row>
    <row r="1116" spans="1:6" ht="20.399999999999999">
      <c r="A1116" s="323"/>
      <c r="B1116" s="63"/>
      <c r="C1116" s="63"/>
      <c r="D1116" s="63"/>
      <c r="E1116" s="326"/>
      <c r="F1116" s="63"/>
    </row>
    <row r="1117" spans="1:6" ht="20.399999999999999">
      <c r="A1117" s="323"/>
      <c r="B1117" s="63"/>
      <c r="C1117" s="63"/>
      <c r="D1117" s="63"/>
      <c r="E1117" s="326"/>
      <c r="F1117" s="63"/>
    </row>
    <row r="1118" spans="1:6" ht="20.399999999999999">
      <c r="A1118" s="323"/>
      <c r="B1118" s="63"/>
      <c r="C1118" s="63"/>
      <c r="D1118" s="63"/>
      <c r="E1118" s="326"/>
      <c r="F1118" s="63"/>
    </row>
    <row r="1119" spans="1:6" ht="20.399999999999999">
      <c r="A1119" s="323"/>
      <c r="B1119" s="63"/>
      <c r="C1119" s="63"/>
      <c r="D1119" s="63"/>
      <c r="E1119" s="326"/>
      <c r="F1119" s="63"/>
    </row>
    <row r="1120" spans="1:6" ht="20.399999999999999">
      <c r="A1120" s="323"/>
      <c r="B1120" s="63"/>
      <c r="C1120" s="63"/>
      <c r="D1120" s="63"/>
      <c r="E1120" s="326"/>
      <c r="F1120" s="63"/>
    </row>
    <row r="1121" spans="1:6" ht="20.399999999999999">
      <c r="A1121" s="323"/>
      <c r="B1121" s="63"/>
      <c r="C1121" s="63"/>
      <c r="D1121" s="63"/>
      <c r="E1121" s="326"/>
      <c r="F1121" s="63"/>
    </row>
    <row r="1122" spans="1:6" ht="20.399999999999999">
      <c r="A1122" s="323"/>
      <c r="B1122" s="63"/>
      <c r="C1122" s="63"/>
      <c r="D1122" s="63"/>
      <c r="E1122" s="326"/>
      <c r="F1122" s="63"/>
    </row>
    <row r="1123" spans="1:6" ht="20.399999999999999">
      <c r="A1123" s="323"/>
      <c r="B1123" s="63"/>
      <c r="C1123" s="63"/>
      <c r="D1123" s="63"/>
      <c r="E1123" s="326"/>
      <c r="F1123" s="63"/>
    </row>
    <row r="1124" spans="1:6" ht="20.399999999999999">
      <c r="A1124" s="323"/>
      <c r="B1124" s="63"/>
      <c r="C1124" s="63"/>
      <c r="D1124" s="63"/>
      <c r="E1124" s="326"/>
      <c r="F1124" s="63"/>
    </row>
    <row r="1125" spans="1:6" ht="20.399999999999999">
      <c r="A1125" s="323"/>
      <c r="B1125" s="63"/>
      <c r="C1125" s="63"/>
      <c r="D1125" s="63"/>
      <c r="E1125" s="326"/>
      <c r="F1125" s="63"/>
    </row>
    <row r="1126" spans="1:6" ht="20.399999999999999">
      <c r="A1126" s="323"/>
      <c r="B1126" s="63"/>
      <c r="C1126" s="63"/>
      <c r="D1126" s="63"/>
      <c r="E1126" s="326"/>
      <c r="F1126" s="63"/>
    </row>
    <row r="1127" spans="1:6" ht="20.399999999999999">
      <c r="A1127" s="323"/>
      <c r="B1127" s="63"/>
      <c r="C1127" s="63"/>
      <c r="D1127" s="63"/>
      <c r="E1127" s="326"/>
      <c r="F1127" s="63"/>
    </row>
    <row r="1128" spans="1:6" ht="20.399999999999999">
      <c r="A1128" s="323"/>
      <c r="B1128" s="63"/>
      <c r="C1128" s="63"/>
      <c r="D1128" s="63"/>
      <c r="E1128" s="326"/>
      <c r="F1128" s="63"/>
    </row>
    <row r="1129" spans="1:6" ht="20.399999999999999">
      <c r="A1129" s="323"/>
      <c r="B1129" s="63"/>
      <c r="C1129" s="63"/>
      <c r="D1129" s="63"/>
      <c r="E1129" s="326"/>
      <c r="F1129" s="63"/>
    </row>
    <row r="1130" spans="1:6" ht="20.399999999999999">
      <c r="A1130" s="323"/>
      <c r="B1130" s="63"/>
      <c r="C1130" s="63"/>
      <c r="D1130" s="63"/>
      <c r="E1130" s="326"/>
      <c r="F1130" s="63"/>
    </row>
    <row r="1131" spans="1:6" ht="20.399999999999999">
      <c r="A1131" s="323"/>
      <c r="B1131" s="63"/>
      <c r="C1131" s="63"/>
      <c r="D1131" s="63"/>
      <c r="E1131" s="326"/>
      <c r="F1131" s="63"/>
    </row>
    <row r="1132" spans="1:6" ht="20.399999999999999">
      <c r="A1132" s="323"/>
      <c r="B1132" s="63"/>
      <c r="C1132" s="63"/>
      <c r="D1132" s="63"/>
      <c r="E1132" s="326"/>
      <c r="F1132" s="63"/>
    </row>
    <row r="1133" spans="1:6" ht="20.399999999999999">
      <c r="A1133" s="323"/>
      <c r="B1133" s="63"/>
      <c r="C1133" s="63"/>
      <c r="D1133" s="63"/>
      <c r="E1133" s="326"/>
      <c r="F1133" s="63"/>
    </row>
    <row r="1134" spans="1:6" ht="20.399999999999999">
      <c r="A1134" s="323"/>
      <c r="B1134" s="63"/>
      <c r="C1134" s="63"/>
      <c r="D1134" s="63"/>
      <c r="E1134" s="326"/>
      <c r="F1134" s="63"/>
    </row>
    <row r="1135" spans="1:6" ht="20.399999999999999">
      <c r="A1135" s="323"/>
      <c r="B1135" s="63"/>
      <c r="C1135" s="63"/>
      <c r="D1135" s="63"/>
      <c r="E1135" s="326"/>
      <c r="F1135" s="63"/>
    </row>
    <row r="1136" spans="1:6" ht="20.399999999999999">
      <c r="A1136" s="323"/>
      <c r="B1136" s="63"/>
      <c r="C1136" s="63"/>
      <c r="D1136" s="63"/>
      <c r="E1136" s="326"/>
      <c r="F1136" s="63"/>
    </row>
    <row r="1137" spans="1:6" ht="20.399999999999999">
      <c r="A1137" s="323"/>
      <c r="B1137" s="63"/>
      <c r="C1137" s="63"/>
      <c r="D1137" s="63"/>
      <c r="E1137" s="326"/>
      <c r="F1137" s="63"/>
    </row>
    <row r="1138" spans="1:6" ht="20.399999999999999">
      <c r="A1138" s="323"/>
      <c r="B1138" s="63"/>
      <c r="C1138" s="63"/>
      <c r="D1138" s="63"/>
      <c r="E1138" s="326"/>
      <c r="F1138" s="63"/>
    </row>
    <row r="1139" spans="1:6" ht="20.399999999999999">
      <c r="A1139" s="323"/>
      <c r="B1139" s="63"/>
      <c r="C1139" s="63"/>
      <c r="D1139" s="63"/>
      <c r="E1139" s="326"/>
      <c r="F1139" s="63"/>
    </row>
    <row r="1140" spans="1:6" ht="20.399999999999999">
      <c r="A1140" s="323"/>
      <c r="B1140" s="63"/>
      <c r="C1140" s="63"/>
      <c r="D1140" s="63"/>
      <c r="E1140" s="326"/>
      <c r="F1140" s="63"/>
    </row>
    <row r="1141" spans="1:6" ht="20.399999999999999">
      <c r="A1141" s="323"/>
      <c r="B1141" s="63"/>
      <c r="C1141" s="63"/>
      <c r="D1141" s="63"/>
      <c r="E1141" s="326"/>
      <c r="F1141" s="63"/>
    </row>
    <row r="1142" spans="1:6" ht="20.399999999999999">
      <c r="A1142" s="323"/>
      <c r="B1142" s="63"/>
      <c r="C1142" s="63"/>
      <c r="D1142" s="63"/>
      <c r="E1142" s="326"/>
      <c r="F1142" s="63"/>
    </row>
    <row r="1143" spans="1:6" ht="20.399999999999999">
      <c r="A1143" s="323"/>
      <c r="B1143" s="63"/>
      <c r="C1143" s="63"/>
      <c r="D1143" s="63"/>
      <c r="E1143" s="326"/>
      <c r="F1143" s="63"/>
    </row>
    <row r="1144" spans="1:6" ht="20.399999999999999">
      <c r="A1144" s="323"/>
      <c r="B1144" s="63"/>
      <c r="C1144" s="63"/>
      <c r="D1144" s="63"/>
      <c r="E1144" s="326"/>
      <c r="F1144" s="63"/>
    </row>
    <row r="1145" spans="1:6" ht="20.399999999999999">
      <c r="A1145" s="323"/>
      <c r="B1145" s="63"/>
      <c r="C1145" s="63"/>
      <c r="D1145" s="63"/>
      <c r="E1145" s="326"/>
      <c r="F1145" s="63"/>
    </row>
    <row r="1146" spans="1:6" ht="20.399999999999999">
      <c r="A1146" s="323"/>
      <c r="B1146" s="63"/>
      <c r="C1146" s="63"/>
      <c r="D1146" s="63"/>
      <c r="E1146" s="326"/>
      <c r="F1146" s="63"/>
    </row>
    <row r="1147" spans="1:6" ht="20.399999999999999">
      <c r="A1147" s="323"/>
      <c r="B1147" s="63"/>
      <c r="C1147" s="63"/>
      <c r="D1147" s="63"/>
      <c r="E1147" s="326"/>
      <c r="F1147" s="63"/>
    </row>
    <row r="1148" spans="1:6" ht="20.399999999999999">
      <c r="A1148" s="323"/>
      <c r="B1148" s="63"/>
      <c r="C1148" s="63"/>
      <c r="D1148" s="63"/>
      <c r="E1148" s="326"/>
      <c r="F1148" s="63"/>
    </row>
    <row r="1149" spans="1:6" ht="20.399999999999999">
      <c r="A1149" s="323"/>
      <c r="B1149" s="63"/>
      <c r="C1149" s="63"/>
      <c r="D1149" s="63"/>
      <c r="E1149" s="326"/>
      <c r="F1149" s="63"/>
    </row>
    <row r="1150" spans="1:6" ht="20.399999999999999">
      <c r="A1150" s="323"/>
      <c r="B1150" s="63"/>
      <c r="C1150" s="63"/>
      <c r="D1150" s="63"/>
      <c r="E1150" s="326"/>
      <c r="F1150" s="63"/>
    </row>
    <row r="1151" spans="1:6" ht="20.399999999999999">
      <c r="A1151" s="323"/>
      <c r="B1151" s="63"/>
      <c r="C1151" s="63"/>
      <c r="D1151" s="63"/>
      <c r="E1151" s="326"/>
      <c r="F1151" s="63"/>
    </row>
    <row r="1152" spans="1:6" ht="20.399999999999999">
      <c r="A1152" s="323"/>
      <c r="B1152" s="63"/>
      <c r="C1152" s="63"/>
      <c r="D1152" s="63"/>
      <c r="E1152" s="326"/>
      <c r="F1152" s="63"/>
    </row>
    <row r="1153" spans="1:6" ht="20.399999999999999">
      <c r="A1153" s="323"/>
      <c r="B1153" s="63"/>
      <c r="C1153" s="63"/>
      <c r="D1153" s="63"/>
      <c r="E1153" s="326"/>
      <c r="F1153" s="63"/>
    </row>
    <row r="1154" spans="1:6" ht="20.399999999999999">
      <c r="A1154" s="323"/>
      <c r="B1154" s="63"/>
      <c r="C1154" s="63"/>
      <c r="D1154" s="63"/>
      <c r="E1154" s="326"/>
      <c r="F1154" s="63"/>
    </row>
    <row r="1155" spans="1:6" ht="20.399999999999999">
      <c r="A1155" s="323"/>
      <c r="B1155" s="63"/>
      <c r="C1155" s="63"/>
      <c r="D1155" s="63"/>
      <c r="E1155" s="326"/>
      <c r="F1155" s="63"/>
    </row>
    <row r="1156" spans="1:6" ht="20.399999999999999">
      <c r="A1156" s="323"/>
      <c r="B1156" s="63"/>
      <c r="C1156" s="63"/>
      <c r="D1156" s="63"/>
      <c r="E1156" s="326"/>
      <c r="F1156" s="63"/>
    </row>
    <row r="1157" spans="1:6" ht="20.399999999999999">
      <c r="A1157" s="323"/>
      <c r="B1157" s="63"/>
      <c r="C1157" s="63"/>
      <c r="D1157" s="63"/>
      <c r="E1157" s="326"/>
      <c r="F1157" s="63"/>
    </row>
    <row r="1158" spans="1:6" ht="20.399999999999999">
      <c r="A1158" s="323"/>
      <c r="B1158" s="63"/>
      <c r="C1158" s="63"/>
      <c r="D1158" s="63"/>
      <c r="E1158" s="326"/>
      <c r="F1158" s="63"/>
    </row>
    <row r="1159" spans="1:6" ht="20.399999999999999">
      <c r="A1159" s="323"/>
      <c r="B1159" s="63"/>
      <c r="C1159" s="63"/>
      <c r="D1159" s="63"/>
      <c r="E1159" s="326"/>
      <c r="F1159" s="63"/>
    </row>
    <row r="1160" spans="1:6" ht="20.399999999999999">
      <c r="A1160" s="323"/>
      <c r="B1160" s="63"/>
      <c r="C1160" s="63"/>
      <c r="D1160" s="63"/>
      <c r="E1160" s="326"/>
      <c r="F1160" s="63"/>
    </row>
    <row r="1161" spans="1:6" ht="20.399999999999999">
      <c r="A1161" s="323"/>
      <c r="B1161" s="63"/>
      <c r="C1161" s="63"/>
      <c r="D1161" s="63"/>
      <c r="E1161" s="326"/>
      <c r="F1161" s="63"/>
    </row>
    <row r="1162" spans="1:6" ht="20.399999999999999">
      <c r="A1162" s="323"/>
      <c r="B1162" s="63"/>
      <c r="C1162" s="63"/>
      <c r="D1162" s="63"/>
      <c r="E1162" s="326"/>
      <c r="F1162" s="63"/>
    </row>
    <row r="1163" spans="1:6" ht="20.399999999999999">
      <c r="A1163" s="323"/>
      <c r="B1163" s="63"/>
      <c r="C1163" s="63"/>
      <c r="D1163" s="63"/>
      <c r="E1163" s="326"/>
      <c r="F1163" s="63"/>
    </row>
    <row r="1164" spans="1:6" ht="20.399999999999999">
      <c r="A1164" s="323"/>
      <c r="B1164" s="63"/>
      <c r="C1164" s="63"/>
      <c r="D1164" s="63"/>
      <c r="E1164" s="326"/>
      <c r="F1164" s="63"/>
    </row>
    <row r="1165" spans="1:6" ht="20.399999999999999">
      <c r="A1165" s="323"/>
      <c r="B1165" s="63"/>
      <c r="C1165" s="63"/>
      <c r="D1165" s="63"/>
      <c r="E1165" s="326"/>
      <c r="F1165" s="63"/>
    </row>
    <row r="1166" spans="1:6" ht="20.399999999999999">
      <c r="A1166" s="323"/>
      <c r="B1166" s="63"/>
      <c r="C1166" s="63"/>
      <c r="D1166" s="63"/>
      <c r="E1166" s="326"/>
      <c r="F1166" s="63"/>
    </row>
    <row r="1167" spans="1:6" ht="20.399999999999999">
      <c r="A1167" s="323"/>
      <c r="B1167" s="63"/>
      <c r="C1167" s="63"/>
      <c r="D1167" s="63"/>
      <c r="E1167" s="326"/>
      <c r="F1167" s="63"/>
    </row>
    <row r="1168" spans="1:6" ht="20.399999999999999">
      <c r="A1168" s="323"/>
      <c r="B1168" s="63"/>
      <c r="C1168" s="63"/>
      <c r="D1168" s="63"/>
      <c r="E1168" s="326"/>
      <c r="F1168" s="63"/>
    </row>
    <row r="1169" spans="1:6" ht="20.399999999999999">
      <c r="A1169" s="323"/>
      <c r="B1169" s="63"/>
      <c r="C1169" s="63"/>
      <c r="D1169" s="63"/>
      <c r="E1169" s="326"/>
      <c r="F1169" s="63"/>
    </row>
    <row r="1170" spans="1:6" ht="20.399999999999999">
      <c r="A1170" s="323"/>
      <c r="B1170" s="63"/>
      <c r="C1170" s="63"/>
      <c r="D1170" s="63"/>
      <c r="E1170" s="326"/>
      <c r="F1170" s="63"/>
    </row>
    <row r="1171" spans="1:6" ht="20.399999999999999">
      <c r="A1171" s="323"/>
      <c r="B1171" s="63"/>
      <c r="C1171" s="63"/>
      <c r="D1171" s="63"/>
      <c r="E1171" s="326"/>
      <c r="F1171" s="63"/>
    </row>
    <row r="1172" spans="1:6" ht="20.399999999999999">
      <c r="A1172" s="323"/>
      <c r="B1172" s="63"/>
      <c r="C1172" s="63"/>
      <c r="D1172" s="63"/>
      <c r="E1172" s="326"/>
      <c r="F1172" s="63"/>
    </row>
    <row r="1173" spans="1:6" ht="20.399999999999999">
      <c r="A1173" s="323"/>
      <c r="B1173" s="63"/>
      <c r="C1173" s="63"/>
      <c r="D1173" s="63"/>
      <c r="E1173" s="326"/>
      <c r="F1173" s="63"/>
    </row>
    <row r="1174" spans="1:6" ht="20.399999999999999">
      <c r="A1174" s="323"/>
      <c r="B1174" s="63"/>
      <c r="C1174" s="63"/>
      <c r="D1174" s="63"/>
      <c r="E1174" s="326"/>
      <c r="F1174" s="63"/>
    </row>
    <row r="1175" spans="1:6" ht="20.399999999999999">
      <c r="A1175" s="323"/>
      <c r="B1175" s="63"/>
      <c r="C1175" s="63"/>
      <c r="D1175" s="63"/>
      <c r="E1175" s="326"/>
      <c r="F1175" s="63"/>
    </row>
    <row r="1176" spans="1:6" ht="20.399999999999999">
      <c r="A1176" s="323"/>
      <c r="B1176" s="63"/>
      <c r="C1176" s="63"/>
      <c r="D1176" s="63"/>
      <c r="E1176" s="326"/>
      <c r="F1176" s="63"/>
    </row>
    <row r="1177" spans="1:6" ht="20.399999999999999">
      <c r="A1177" s="323"/>
      <c r="B1177" s="63"/>
      <c r="C1177" s="63"/>
      <c r="D1177" s="63"/>
      <c r="E1177" s="326"/>
      <c r="F1177" s="63"/>
    </row>
    <row r="1178" spans="1:6" ht="20.399999999999999">
      <c r="A1178" s="323"/>
      <c r="B1178" s="63"/>
      <c r="C1178" s="63"/>
      <c r="D1178" s="63"/>
      <c r="E1178" s="326"/>
      <c r="F1178" s="63"/>
    </row>
    <row r="1179" spans="1:6" ht="20.399999999999999">
      <c r="A1179" s="323"/>
      <c r="B1179" s="63"/>
      <c r="C1179" s="63"/>
      <c r="D1179" s="63"/>
      <c r="E1179" s="326"/>
      <c r="F1179" s="63"/>
    </row>
    <row r="1180" spans="1:6" ht="20.399999999999999">
      <c r="A1180" s="323"/>
      <c r="B1180" s="63"/>
      <c r="C1180" s="63"/>
      <c r="D1180" s="63"/>
      <c r="E1180" s="326"/>
      <c r="F1180" s="63"/>
    </row>
    <row r="1181" spans="1:6" ht="20.399999999999999">
      <c r="A1181" s="323"/>
      <c r="B1181" s="63"/>
      <c r="C1181" s="63"/>
      <c r="D1181" s="63"/>
      <c r="E1181" s="326"/>
      <c r="F1181" s="63"/>
    </row>
    <row r="1182" spans="1:6" ht="20.399999999999999">
      <c r="A1182" s="323"/>
      <c r="B1182" s="63"/>
      <c r="C1182" s="63"/>
      <c r="D1182" s="63"/>
      <c r="E1182" s="326"/>
      <c r="F1182" s="63"/>
    </row>
    <row r="1183" spans="1:6" ht="20.399999999999999">
      <c r="A1183" s="323"/>
      <c r="B1183" s="63"/>
      <c r="C1183" s="63"/>
      <c r="D1183" s="63"/>
      <c r="E1183" s="326"/>
      <c r="F1183" s="63"/>
    </row>
    <row r="1184" spans="1:6" ht="20.399999999999999">
      <c r="A1184" s="323"/>
      <c r="B1184" s="63"/>
      <c r="C1184" s="63"/>
      <c r="D1184" s="63"/>
      <c r="E1184" s="326"/>
      <c r="F1184" s="63"/>
    </row>
    <row r="1185" spans="1:6" ht="20.399999999999999">
      <c r="A1185" s="323"/>
      <c r="B1185" s="63"/>
      <c r="C1185" s="63"/>
      <c r="D1185" s="63"/>
      <c r="E1185" s="326"/>
      <c r="F1185" s="63"/>
    </row>
    <row r="1186" spans="1:6" ht="20.399999999999999">
      <c r="A1186" s="323"/>
      <c r="B1186" s="63"/>
      <c r="C1186" s="63"/>
      <c r="D1186" s="63"/>
      <c r="E1186" s="326"/>
      <c r="F1186" s="63"/>
    </row>
    <row r="1187" spans="1:6" ht="20.399999999999999">
      <c r="A1187" s="323"/>
      <c r="B1187" s="63"/>
      <c r="C1187" s="63"/>
      <c r="D1187" s="63"/>
      <c r="E1187" s="326"/>
      <c r="F1187" s="63"/>
    </row>
    <row r="1188" spans="1:6" ht="20.399999999999999">
      <c r="A1188" s="323"/>
      <c r="B1188" s="63"/>
      <c r="C1188" s="63"/>
      <c r="D1188" s="63"/>
      <c r="E1188" s="326"/>
      <c r="F1188" s="63"/>
    </row>
    <row r="1189" spans="1:6" ht="20.399999999999999">
      <c r="A1189" s="323"/>
      <c r="B1189" s="63"/>
      <c r="C1189" s="63"/>
      <c r="D1189" s="63"/>
      <c r="E1189" s="326"/>
      <c r="F1189" s="63"/>
    </row>
    <row r="1190" spans="1:6" ht="20.399999999999999">
      <c r="A1190" s="323"/>
      <c r="B1190" s="63"/>
      <c r="C1190" s="63"/>
      <c r="D1190" s="63"/>
      <c r="E1190" s="326"/>
      <c r="F1190" s="63"/>
    </row>
    <row r="1191" spans="1:6" ht="20.399999999999999">
      <c r="A1191" s="323"/>
      <c r="B1191" s="63"/>
      <c r="C1191" s="63"/>
      <c r="D1191" s="63"/>
      <c r="E1191" s="326"/>
      <c r="F1191" s="63"/>
    </row>
    <row r="1192" spans="1:6" ht="20.399999999999999">
      <c r="A1192" s="323"/>
      <c r="B1192" s="63"/>
      <c r="C1192" s="63"/>
      <c r="D1192" s="63"/>
      <c r="E1192" s="326"/>
      <c r="F1192" s="63"/>
    </row>
    <row r="1193" spans="1:6" ht="20.399999999999999">
      <c r="A1193" s="323"/>
      <c r="B1193" s="63"/>
      <c r="C1193" s="63"/>
      <c r="D1193" s="63"/>
      <c r="E1193" s="326"/>
      <c r="F1193" s="63"/>
    </row>
    <row r="1194" spans="1:6" ht="20.399999999999999">
      <c r="A1194" s="323"/>
      <c r="B1194" s="63"/>
      <c r="C1194" s="63"/>
      <c r="D1194" s="63"/>
      <c r="E1194" s="326"/>
      <c r="F1194" s="63"/>
    </row>
    <row r="1195" spans="1:6" ht="20.399999999999999">
      <c r="A1195" s="323"/>
      <c r="B1195" s="63"/>
      <c r="C1195" s="63"/>
      <c r="D1195" s="63"/>
      <c r="E1195" s="326"/>
      <c r="F1195" s="63"/>
    </row>
    <row r="1196" spans="1:6" ht="20.399999999999999">
      <c r="A1196" s="323"/>
      <c r="B1196" s="63"/>
      <c r="C1196" s="63"/>
      <c r="D1196" s="63"/>
      <c r="E1196" s="326"/>
      <c r="F1196" s="63"/>
    </row>
    <row r="1197" spans="1:6" ht="20.399999999999999">
      <c r="A1197" s="323"/>
      <c r="B1197" s="63"/>
      <c r="C1197" s="63"/>
      <c r="D1197" s="63"/>
      <c r="E1197" s="326"/>
      <c r="F1197" s="63"/>
    </row>
    <row r="1198" spans="1:6" ht="20.399999999999999">
      <c r="A1198" s="323"/>
      <c r="B1198" s="63"/>
      <c r="C1198" s="63"/>
      <c r="D1198" s="63"/>
      <c r="E1198" s="326"/>
      <c r="F1198" s="63"/>
    </row>
    <row r="1199" spans="1:6" ht="20.399999999999999">
      <c r="A1199" s="323"/>
      <c r="B1199" s="63"/>
      <c r="C1199" s="63"/>
      <c r="D1199" s="63"/>
      <c r="E1199" s="326"/>
      <c r="F1199" s="63"/>
    </row>
    <row r="1200" spans="1:6" ht="20.399999999999999">
      <c r="A1200" s="323"/>
      <c r="B1200" s="63"/>
      <c r="C1200" s="63"/>
      <c r="D1200" s="63"/>
      <c r="E1200" s="326"/>
      <c r="F1200" s="63"/>
    </row>
    <row r="1201" spans="1:6" ht="20.399999999999999">
      <c r="A1201" s="323"/>
      <c r="B1201" s="63"/>
      <c r="C1201" s="63"/>
      <c r="D1201" s="63"/>
      <c r="E1201" s="326"/>
      <c r="F1201" s="63"/>
    </row>
    <row r="1202" spans="1:6" ht="20.399999999999999">
      <c r="A1202" s="323"/>
      <c r="B1202" s="63"/>
      <c r="C1202" s="63"/>
      <c r="D1202" s="63"/>
      <c r="E1202" s="326"/>
      <c r="F1202" s="63"/>
    </row>
    <row r="1203" spans="1:6" ht="20.399999999999999">
      <c r="A1203" s="323"/>
      <c r="B1203" s="63"/>
      <c r="C1203" s="63"/>
      <c r="D1203" s="63"/>
      <c r="E1203" s="326"/>
      <c r="F1203" s="63"/>
    </row>
    <row r="1204" spans="1:6" ht="20.399999999999999">
      <c r="A1204" s="323"/>
      <c r="B1204" s="63"/>
      <c r="C1204" s="63"/>
      <c r="D1204" s="63"/>
      <c r="E1204" s="326"/>
      <c r="F1204" s="63"/>
    </row>
    <row r="1205" spans="1:6" ht="20.399999999999999">
      <c r="A1205" s="323"/>
      <c r="B1205" s="63"/>
      <c r="C1205" s="63"/>
      <c r="D1205" s="63"/>
      <c r="E1205" s="326"/>
      <c r="F1205" s="63"/>
    </row>
    <row r="1206" spans="1:6" ht="20.399999999999999">
      <c r="A1206" s="323"/>
      <c r="B1206" s="63"/>
      <c r="C1206" s="63"/>
      <c r="D1206" s="63"/>
      <c r="E1206" s="326"/>
      <c r="F1206" s="63"/>
    </row>
    <row r="1207" spans="1:6" ht="20.399999999999999">
      <c r="A1207" s="323"/>
      <c r="B1207" s="63"/>
      <c r="C1207" s="63"/>
      <c r="D1207" s="63"/>
      <c r="E1207" s="326"/>
      <c r="F1207" s="63"/>
    </row>
    <row r="1208" spans="1:6" ht="20.399999999999999">
      <c r="A1208" s="323"/>
      <c r="B1208" s="63"/>
      <c r="C1208" s="63"/>
      <c r="D1208" s="63"/>
      <c r="E1208" s="326"/>
      <c r="F1208" s="63"/>
    </row>
    <row r="1209" spans="1:6" ht="20.399999999999999">
      <c r="A1209" s="323"/>
      <c r="B1209" s="63"/>
      <c r="C1209" s="63"/>
      <c r="D1209" s="63"/>
      <c r="E1209" s="326"/>
      <c r="F1209" s="63"/>
    </row>
    <row r="1210" spans="1:6" ht="20.399999999999999">
      <c r="A1210" s="323"/>
      <c r="B1210" s="63"/>
      <c r="C1210" s="63"/>
      <c r="D1210" s="63"/>
      <c r="E1210" s="326"/>
      <c r="F1210" s="63"/>
    </row>
    <row r="1211" spans="1:6" ht="20.399999999999999">
      <c r="A1211" s="323"/>
      <c r="B1211" s="63"/>
      <c r="C1211" s="63"/>
      <c r="D1211" s="63"/>
      <c r="E1211" s="326"/>
      <c r="F1211" s="63"/>
    </row>
    <row r="1212" spans="1:6" ht="20.399999999999999">
      <c r="A1212" s="323"/>
      <c r="B1212" s="63"/>
      <c r="C1212" s="63"/>
      <c r="D1212" s="63"/>
      <c r="E1212" s="326"/>
      <c r="F1212" s="63"/>
    </row>
    <row r="1213" spans="1:6" ht="20.399999999999999">
      <c r="A1213" s="323"/>
      <c r="B1213" s="63"/>
      <c r="C1213" s="63"/>
      <c r="D1213" s="63"/>
      <c r="E1213" s="326"/>
      <c r="F1213" s="63"/>
    </row>
    <row r="1214" spans="1:6" ht="20.399999999999999">
      <c r="A1214" s="323"/>
      <c r="B1214" s="63"/>
      <c r="C1214" s="63"/>
      <c r="D1214" s="63"/>
      <c r="E1214" s="326"/>
      <c r="F1214" s="63"/>
    </row>
    <row r="1215" spans="1:6" ht="20.399999999999999">
      <c r="A1215" s="323"/>
      <c r="B1215" s="63"/>
      <c r="C1215" s="63"/>
      <c r="D1215" s="63"/>
      <c r="E1215" s="326"/>
      <c r="F1215" s="63"/>
    </row>
    <row r="1216" spans="1:6" ht="20.399999999999999">
      <c r="A1216" s="323"/>
      <c r="B1216" s="63"/>
      <c r="C1216" s="63"/>
      <c r="D1216" s="63"/>
      <c r="E1216" s="326"/>
      <c r="F1216" s="63"/>
    </row>
    <row r="1217" spans="1:6" ht="20.399999999999999">
      <c r="A1217" s="323"/>
      <c r="B1217" s="63"/>
      <c r="C1217" s="63"/>
      <c r="D1217" s="63"/>
      <c r="E1217" s="326"/>
      <c r="F1217" s="63"/>
    </row>
    <row r="1218" spans="1:6" ht="20.399999999999999">
      <c r="A1218" s="323"/>
      <c r="B1218" s="63"/>
      <c r="C1218" s="63"/>
      <c r="D1218" s="63"/>
      <c r="E1218" s="326"/>
      <c r="F1218" s="63"/>
    </row>
    <row r="1219" spans="1:6" ht="20.399999999999999">
      <c r="A1219" s="323"/>
      <c r="B1219" s="63"/>
      <c r="C1219" s="63"/>
      <c r="D1219" s="63"/>
      <c r="E1219" s="326"/>
      <c r="F1219" s="63"/>
    </row>
    <row r="1220" spans="1:6" ht="20.399999999999999">
      <c r="A1220" s="323"/>
      <c r="B1220" s="63"/>
      <c r="C1220" s="63"/>
      <c r="D1220" s="63"/>
      <c r="E1220" s="326"/>
      <c r="F1220" s="63"/>
    </row>
    <row r="1221" spans="1:6" ht="20.399999999999999">
      <c r="A1221" s="323"/>
      <c r="B1221" s="63"/>
      <c r="C1221" s="63"/>
      <c r="D1221" s="63"/>
      <c r="E1221" s="326"/>
      <c r="F1221" s="63"/>
    </row>
    <row r="1222" spans="1:6" ht="20.399999999999999">
      <c r="A1222" s="323"/>
      <c r="B1222" s="63"/>
      <c r="C1222" s="63"/>
      <c r="D1222" s="63"/>
      <c r="E1222" s="326"/>
      <c r="F1222" s="63"/>
    </row>
    <row r="1223" spans="1:6" ht="20.399999999999999">
      <c r="A1223" s="323"/>
      <c r="B1223" s="63"/>
      <c r="C1223" s="63"/>
      <c r="D1223" s="63"/>
      <c r="E1223" s="326"/>
      <c r="F1223" s="63"/>
    </row>
    <row r="1224" spans="1:6" ht="20.399999999999999">
      <c r="A1224" s="323"/>
      <c r="B1224" s="63"/>
      <c r="C1224" s="63"/>
      <c r="D1224" s="63"/>
      <c r="E1224" s="326"/>
      <c r="F1224" s="63"/>
    </row>
    <row r="1225" spans="1:6" ht="20.399999999999999">
      <c r="A1225" s="323"/>
      <c r="B1225" s="63"/>
      <c r="C1225" s="63"/>
      <c r="D1225" s="63"/>
      <c r="E1225" s="326"/>
      <c r="F1225" s="63"/>
    </row>
    <row r="1226" spans="1:6" ht="20.399999999999999">
      <c r="A1226" s="323"/>
      <c r="B1226" s="63"/>
      <c r="C1226" s="63"/>
      <c r="D1226" s="63"/>
      <c r="E1226" s="326"/>
      <c r="F1226" s="63"/>
    </row>
    <row r="1227" spans="1:6" ht="20.399999999999999">
      <c r="A1227" s="323"/>
      <c r="B1227" s="63"/>
      <c r="C1227" s="63"/>
      <c r="D1227" s="63"/>
      <c r="E1227" s="326"/>
      <c r="F1227" s="63"/>
    </row>
    <row r="1228" spans="1:6" ht="20.399999999999999">
      <c r="A1228" s="323"/>
      <c r="B1228" s="63"/>
      <c r="C1228" s="63"/>
      <c r="D1228" s="63"/>
      <c r="E1228" s="326"/>
      <c r="F1228" s="63"/>
    </row>
    <row r="1229" spans="1:6" ht="20.399999999999999">
      <c r="A1229" s="323"/>
      <c r="B1229" s="63"/>
      <c r="C1229" s="63"/>
      <c r="D1229" s="63"/>
      <c r="E1229" s="326"/>
      <c r="F1229" s="63"/>
    </row>
    <row r="1230" spans="1:6" ht="20.399999999999999">
      <c r="A1230" s="323"/>
      <c r="B1230" s="63"/>
      <c r="C1230" s="63"/>
      <c r="D1230" s="63"/>
      <c r="E1230" s="326"/>
      <c r="F1230" s="63"/>
    </row>
    <row r="1231" spans="1:6" ht="20.399999999999999">
      <c r="A1231" s="323"/>
      <c r="B1231" s="63"/>
      <c r="C1231" s="63"/>
      <c r="D1231" s="63"/>
      <c r="E1231" s="326"/>
      <c r="F1231" s="63"/>
    </row>
    <row r="1232" spans="1:6" ht="20.399999999999999">
      <c r="A1232" s="323"/>
      <c r="B1232" s="63"/>
      <c r="C1232" s="63"/>
      <c r="D1232" s="63"/>
      <c r="E1232" s="326"/>
      <c r="F1232" s="63"/>
    </row>
    <row r="1233" spans="1:6" ht="20.399999999999999">
      <c r="A1233" s="323"/>
      <c r="B1233" s="63"/>
      <c r="C1233" s="63"/>
      <c r="D1233" s="63"/>
      <c r="E1233" s="326"/>
      <c r="F1233" s="63"/>
    </row>
    <row r="1234" spans="1:6" ht="20.399999999999999">
      <c r="A1234" s="323"/>
      <c r="B1234" s="63"/>
      <c r="C1234" s="63"/>
      <c r="D1234" s="63"/>
      <c r="E1234" s="326"/>
      <c r="F1234" s="63"/>
    </row>
    <row r="1235" spans="1:6" ht="20.399999999999999">
      <c r="A1235" s="323"/>
      <c r="B1235" s="63"/>
      <c r="C1235" s="63"/>
      <c r="D1235" s="63"/>
      <c r="E1235" s="326"/>
      <c r="F1235" s="63"/>
    </row>
    <row r="1236" spans="1:6" ht="20.399999999999999">
      <c r="A1236" s="323"/>
      <c r="B1236" s="63"/>
      <c r="C1236" s="63"/>
      <c r="D1236" s="63"/>
      <c r="E1236" s="326"/>
      <c r="F1236" s="63"/>
    </row>
    <row r="1237" spans="1:6" ht="20.399999999999999">
      <c r="A1237" s="323"/>
      <c r="B1237" s="63"/>
      <c r="C1237" s="63"/>
      <c r="D1237" s="63"/>
      <c r="E1237" s="326"/>
      <c r="F1237" s="63"/>
    </row>
    <row r="1238" spans="1:6" ht="20.399999999999999">
      <c r="A1238" s="323"/>
      <c r="B1238" s="63"/>
      <c r="C1238" s="63"/>
      <c r="D1238" s="63"/>
      <c r="E1238" s="326"/>
      <c r="F1238" s="63"/>
    </row>
    <row r="1239" spans="1:6" ht="20.399999999999999">
      <c r="A1239" s="323"/>
      <c r="B1239" s="63"/>
      <c r="C1239" s="63"/>
      <c r="D1239" s="63"/>
      <c r="E1239" s="326"/>
      <c r="F1239" s="63"/>
    </row>
    <row r="1240" spans="1:6" ht="20.399999999999999">
      <c r="A1240" s="323"/>
      <c r="B1240" s="63"/>
      <c r="C1240" s="63"/>
      <c r="D1240" s="63"/>
      <c r="E1240" s="326"/>
      <c r="F1240" s="63"/>
    </row>
    <row r="1241" spans="1:6" ht="20.399999999999999">
      <c r="A1241" s="323"/>
      <c r="B1241" s="63"/>
      <c r="C1241" s="63"/>
      <c r="D1241" s="63"/>
      <c r="E1241" s="326"/>
      <c r="F1241" s="63"/>
    </row>
    <row r="1242" spans="1:6" ht="20.399999999999999">
      <c r="A1242" s="323"/>
      <c r="B1242" s="63"/>
      <c r="C1242" s="63"/>
      <c r="D1242" s="63"/>
      <c r="E1242" s="326"/>
      <c r="F1242" s="63"/>
    </row>
    <row r="1243" spans="1:6" ht="20.399999999999999">
      <c r="A1243" s="323"/>
      <c r="B1243" s="63"/>
      <c r="C1243" s="63"/>
      <c r="D1243" s="63"/>
      <c r="E1243" s="326"/>
      <c r="F1243" s="63"/>
    </row>
    <row r="1244" spans="1:6" ht="20.399999999999999">
      <c r="A1244" s="323"/>
      <c r="B1244" s="63"/>
      <c r="C1244" s="63"/>
      <c r="D1244" s="63"/>
      <c r="E1244" s="326"/>
      <c r="F1244" s="63"/>
    </row>
    <row r="1245" spans="1:6" ht="20.399999999999999">
      <c r="A1245" s="323"/>
      <c r="B1245" s="63"/>
      <c r="C1245" s="63"/>
      <c r="D1245" s="63"/>
      <c r="E1245" s="326"/>
      <c r="F1245" s="63"/>
    </row>
    <row r="1246" spans="1:6" ht="20.399999999999999">
      <c r="A1246" s="323"/>
      <c r="B1246" s="63"/>
      <c r="C1246" s="63"/>
      <c r="D1246" s="63"/>
      <c r="E1246" s="326"/>
      <c r="F1246" s="63"/>
    </row>
    <row r="1247" spans="1:6" ht="20.399999999999999">
      <c r="A1247" s="323"/>
      <c r="B1247" s="63"/>
      <c r="C1247" s="63"/>
      <c r="D1247" s="63"/>
      <c r="E1247" s="326"/>
      <c r="F1247" s="63"/>
    </row>
    <row r="1248" spans="1:6" ht="20.399999999999999">
      <c r="A1248" s="323"/>
      <c r="B1248" s="63"/>
      <c r="C1248" s="63"/>
      <c r="D1248" s="63"/>
      <c r="E1248" s="326"/>
      <c r="F1248" s="63"/>
    </row>
    <row r="1249" spans="1:6" ht="20.399999999999999">
      <c r="A1249" s="323"/>
      <c r="B1249" s="63"/>
      <c r="C1249" s="63"/>
      <c r="D1249" s="63"/>
      <c r="E1249" s="326"/>
      <c r="F1249" s="63"/>
    </row>
    <row r="1250" spans="1:6" ht="20.399999999999999">
      <c r="A1250" s="323"/>
      <c r="B1250" s="63"/>
      <c r="C1250" s="63"/>
      <c r="D1250" s="63"/>
      <c r="E1250" s="326"/>
      <c r="F1250" s="63"/>
    </row>
    <row r="1251" spans="1:6" ht="20.399999999999999">
      <c r="A1251" s="323"/>
      <c r="B1251" s="63"/>
      <c r="C1251" s="63"/>
      <c r="D1251" s="63"/>
      <c r="E1251" s="326"/>
      <c r="F1251" s="63"/>
    </row>
    <row r="1252" spans="1:6" ht="20.399999999999999">
      <c r="A1252" s="323"/>
      <c r="B1252" s="63"/>
      <c r="C1252" s="63"/>
      <c r="D1252" s="63"/>
      <c r="E1252" s="326"/>
      <c r="F1252" s="63"/>
    </row>
    <row r="1253" spans="1:6" ht="20.399999999999999">
      <c r="A1253" s="323"/>
      <c r="B1253" s="63"/>
      <c r="C1253" s="63"/>
      <c r="D1253" s="63"/>
      <c r="E1253" s="326"/>
      <c r="F1253" s="63"/>
    </row>
    <row r="1254" spans="1:6" ht="20.399999999999999">
      <c r="A1254" s="323"/>
      <c r="B1254" s="63"/>
      <c r="C1254" s="63"/>
      <c r="D1254" s="63"/>
      <c r="E1254" s="326"/>
      <c r="F1254" s="63"/>
    </row>
    <row r="1255" spans="1:6" ht="20.399999999999999">
      <c r="A1255" s="323"/>
      <c r="B1255" s="63"/>
      <c r="C1255" s="63"/>
      <c r="D1255" s="63"/>
      <c r="E1255" s="326"/>
      <c r="F1255" s="63"/>
    </row>
    <row r="1256" spans="1:6" ht="20.399999999999999">
      <c r="A1256" s="323"/>
      <c r="B1256" s="63"/>
      <c r="C1256" s="63"/>
      <c r="D1256" s="63"/>
      <c r="E1256" s="326"/>
      <c r="F1256" s="63"/>
    </row>
    <row r="1257" spans="1:6" ht="20.399999999999999">
      <c r="A1257" s="323"/>
      <c r="B1257" s="63"/>
      <c r="C1257" s="63"/>
      <c r="D1257" s="63"/>
      <c r="E1257" s="326"/>
      <c r="F1257" s="63"/>
    </row>
    <row r="1258" spans="1:6" ht="20.399999999999999">
      <c r="A1258" s="323"/>
      <c r="B1258" s="63"/>
      <c r="C1258" s="63"/>
      <c r="D1258" s="63"/>
      <c r="E1258" s="326"/>
      <c r="F1258" s="63"/>
    </row>
    <row r="1259" spans="1:6" ht="20.399999999999999">
      <c r="A1259" s="323"/>
      <c r="B1259" s="63"/>
      <c r="C1259" s="63"/>
      <c r="D1259" s="63"/>
      <c r="E1259" s="326"/>
      <c r="F1259" s="63"/>
    </row>
    <row r="1260" spans="1:6" ht="20.399999999999999">
      <c r="A1260" s="323"/>
      <c r="B1260" s="63"/>
      <c r="C1260" s="63"/>
      <c r="D1260" s="63"/>
      <c r="E1260" s="326"/>
      <c r="F1260" s="63"/>
    </row>
    <row r="1261" spans="1:6" ht="20.399999999999999">
      <c r="A1261" s="323"/>
      <c r="B1261" s="63"/>
      <c r="C1261" s="63"/>
      <c r="D1261" s="63"/>
      <c r="E1261" s="326"/>
      <c r="F1261" s="63"/>
    </row>
    <row r="1262" spans="1:6" ht="20.399999999999999">
      <c r="A1262" s="323"/>
      <c r="B1262" s="63"/>
      <c r="C1262" s="63"/>
      <c r="D1262" s="63"/>
      <c r="E1262" s="326"/>
      <c r="F1262" s="63"/>
    </row>
    <row r="1263" spans="1:6" ht="20.399999999999999">
      <c r="A1263" s="323"/>
      <c r="B1263" s="63"/>
      <c r="C1263" s="63"/>
      <c r="D1263" s="63"/>
      <c r="E1263" s="326"/>
      <c r="F1263" s="63"/>
    </row>
    <row r="1264" spans="1:6" ht="20.399999999999999">
      <c r="A1264" s="323"/>
      <c r="B1264" s="63"/>
      <c r="C1264" s="63"/>
      <c r="D1264" s="63"/>
      <c r="E1264" s="326"/>
      <c r="F1264" s="63"/>
    </row>
    <row r="1265" spans="1:6" ht="20.399999999999999">
      <c r="A1265" s="323"/>
      <c r="B1265" s="63"/>
      <c r="C1265" s="63"/>
      <c r="D1265" s="63"/>
      <c r="E1265" s="326"/>
      <c r="F1265" s="63"/>
    </row>
    <row r="1266" spans="1:6" ht="20.399999999999999">
      <c r="A1266" s="323"/>
      <c r="B1266" s="63"/>
      <c r="C1266" s="63"/>
      <c r="D1266" s="63"/>
      <c r="E1266" s="326"/>
      <c r="F1266" s="63"/>
    </row>
    <row r="1267" spans="1:6" ht="20.399999999999999">
      <c r="A1267" s="323"/>
      <c r="B1267" s="63"/>
      <c r="C1267" s="63"/>
      <c r="D1267" s="63"/>
      <c r="E1267" s="326"/>
      <c r="F1267" s="63"/>
    </row>
    <row r="1268" spans="1:6" ht="20.399999999999999">
      <c r="A1268" s="323"/>
      <c r="B1268" s="63"/>
      <c r="C1268" s="63"/>
      <c r="D1268" s="63"/>
      <c r="E1268" s="326"/>
      <c r="F1268" s="63"/>
    </row>
    <row r="1269" spans="1:6" ht="20.399999999999999">
      <c r="A1269" s="323"/>
      <c r="B1269" s="63"/>
      <c r="C1269" s="63"/>
      <c r="D1269" s="63"/>
      <c r="E1269" s="326"/>
      <c r="F1269" s="63"/>
    </row>
    <row r="1270" spans="1:6" ht="20.399999999999999">
      <c r="A1270" s="323"/>
      <c r="B1270" s="63"/>
      <c r="C1270" s="63"/>
      <c r="D1270" s="63"/>
      <c r="E1270" s="326"/>
      <c r="F1270" s="63"/>
    </row>
    <row r="1271" spans="1:6" ht="20.399999999999999">
      <c r="A1271" s="323"/>
      <c r="B1271" s="63"/>
      <c r="C1271" s="63"/>
      <c r="D1271" s="63"/>
      <c r="E1271" s="326"/>
      <c r="F1271" s="63"/>
    </row>
    <row r="1272" spans="1:6" ht="20.399999999999999">
      <c r="A1272" s="323"/>
      <c r="B1272" s="63"/>
      <c r="C1272" s="63"/>
      <c r="D1272" s="63"/>
      <c r="E1272" s="326"/>
      <c r="F1272" s="63"/>
    </row>
    <row r="1273" spans="1:6" ht="20.399999999999999">
      <c r="A1273" s="323"/>
      <c r="B1273" s="63"/>
      <c r="C1273" s="63"/>
      <c r="D1273" s="63"/>
      <c r="E1273" s="326"/>
      <c r="F1273" s="63"/>
    </row>
    <row r="1274" spans="1:6" ht="20.399999999999999">
      <c r="A1274" s="323"/>
      <c r="B1274" s="63"/>
      <c r="C1274" s="63"/>
      <c r="D1274" s="63"/>
      <c r="E1274" s="326"/>
      <c r="F1274" s="63"/>
    </row>
    <row r="1275" spans="1:6" ht="20.399999999999999">
      <c r="A1275" s="323"/>
      <c r="B1275" s="63"/>
      <c r="C1275" s="63"/>
      <c r="D1275" s="63"/>
      <c r="E1275" s="326"/>
      <c r="F1275" s="63"/>
    </row>
    <row r="1276" spans="1:6" ht="20.399999999999999">
      <c r="A1276" s="323"/>
      <c r="B1276" s="63"/>
      <c r="C1276" s="63"/>
      <c r="D1276" s="63"/>
      <c r="E1276" s="326"/>
      <c r="F1276" s="63"/>
    </row>
    <row r="1277" spans="1:6" ht="20.399999999999999">
      <c r="A1277" s="323"/>
      <c r="B1277" s="63"/>
      <c r="C1277" s="63"/>
      <c r="D1277" s="63"/>
      <c r="E1277" s="326"/>
      <c r="F1277" s="63"/>
    </row>
    <row r="1278" spans="1:6" ht="20.399999999999999">
      <c r="A1278" s="323"/>
      <c r="B1278" s="63"/>
      <c r="C1278" s="63"/>
      <c r="D1278" s="63"/>
      <c r="E1278" s="326"/>
      <c r="F1278" s="63"/>
    </row>
    <row r="1279" spans="1:6" ht="20.399999999999999">
      <c r="A1279" s="323"/>
      <c r="B1279" s="63"/>
      <c r="C1279" s="63"/>
      <c r="D1279" s="63"/>
      <c r="E1279" s="326"/>
      <c r="F1279" s="63"/>
    </row>
    <row r="1280" spans="1:6" ht="20.399999999999999">
      <c r="A1280" s="323"/>
      <c r="B1280" s="63"/>
      <c r="C1280" s="63"/>
      <c r="D1280" s="63"/>
      <c r="E1280" s="326"/>
      <c r="F1280" s="63"/>
    </row>
    <row r="1281" spans="1:6" ht="20.399999999999999">
      <c r="A1281" s="323"/>
      <c r="B1281" s="63"/>
      <c r="C1281" s="63"/>
      <c r="D1281" s="63"/>
      <c r="E1281" s="326"/>
      <c r="F1281" s="63"/>
    </row>
    <row r="1282" spans="1:6" ht="20.399999999999999">
      <c r="A1282" s="323"/>
      <c r="B1282" s="63"/>
      <c r="C1282" s="63"/>
      <c r="D1282" s="63"/>
      <c r="E1282" s="326"/>
      <c r="F1282" s="63"/>
    </row>
    <row r="1283" spans="1:6" ht="20.399999999999999">
      <c r="A1283" s="323"/>
      <c r="B1283" s="63"/>
      <c r="C1283" s="63"/>
      <c r="D1283" s="63"/>
      <c r="E1283" s="326"/>
      <c r="F1283" s="63"/>
    </row>
    <row r="1284" spans="1:6" ht="20.399999999999999">
      <c r="A1284" s="323"/>
      <c r="B1284" s="63"/>
      <c r="C1284" s="63"/>
      <c r="D1284" s="63"/>
      <c r="E1284" s="326"/>
      <c r="F1284" s="63"/>
    </row>
    <row r="1285" spans="1:6" ht="20.399999999999999">
      <c r="A1285" s="323"/>
      <c r="B1285" s="63"/>
      <c r="C1285" s="63"/>
      <c r="D1285" s="63"/>
      <c r="E1285" s="326"/>
      <c r="F1285" s="63"/>
    </row>
    <row r="1286" spans="1:6" ht="20.399999999999999">
      <c r="A1286" s="323"/>
      <c r="B1286" s="63"/>
      <c r="C1286" s="63"/>
      <c r="D1286" s="63"/>
      <c r="E1286" s="326"/>
      <c r="F1286" s="63"/>
    </row>
    <row r="1287" spans="1:6" ht="20.399999999999999">
      <c r="A1287" s="323"/>
      <c r="B1287" s="63"/>
      <c r="C1287" s="63"/>
      <c r="D1287" s="63"/>
      <c r="E1287" s="326"/>
      <c r="F1287" s="63"/>
    </row>
    <row r="1288" spans="1:6" ht="20.399999999999999">
      <c r="A1288" s="323"/>
      <c r="B1288" s="63"/>
      <c r="C1288" s="63"/>
      <c r="D1288" s="63"/>
      <c r="E1288" s="326"/>
      <c r="F1288" s="63"/>
    </row>
    <row r="1289" spans="1:6" ht="20.399999999999999">
      <c r="A1289" s="323"/>
      <c r="B1289" s="63"/>
      <c r="C1289" s="63"/>
      <c r="D1289" s="63"/>
      <c r="E1289" s="326"/>
      <c r="F1289" s="63"/>
    </row>
    <row r="1290" spans="1:6" ht="20.399999999999999">
      <c r="A1290" s="323"/>
      <c r="B1290" s="63"/>
      <c r="C1290" s="63"/>
      <c r="D1290" s="63"/>
      <c r="E1290" s="326"/>
      <c r="F1290" s="63"/>
    </row>
    <row r="1291" spans="1:6" ht="20.399999999999999">
      <c r="A1291" s="323"/>
      <c r="B1291" s="63"/>
      <c r="C1291" s="63"/>
      <c r="D1291" s="63"/>
      <c r="E1291" s="326"/>
      <c r="F1291" s="63"/>
    </row>
    <row r="1292" spans="1:6" ht="20.399999999999999">
      <c r="A1292" s="323"/>
      <c r="B1292" s="63"/>
      <c r="C1292" s="63"/>
      <c r="D1292" s="63"/>
      <c r="E1292" s="326"/>
      <c r="F1292" s="63"/>
    </row>
    <row r="1293" spans="1:6" ht="20.399999999999999">
      <c r="A1293" s="323"/>
      <c r="B1293" s="63"/>
      <c r="C1293" s="63"/>
      <c r="D1293" s="63"/>
      <c r="E1293" s="326"/>
      <c r="F1293" s="63"/>
    </row>
    <row r="1294" spans="1:6" ht="20.399999999999999">
      <c r="A1294" s="323"/>
      <c r="B1294" s="63"/>
      <c r="C1294" s="63"/>
      <c r="D1294" s="63"/>
      <c r="E1294" s="326"/>
      <c r="F1294" s="63"/>
    </row>
    <row r="1295" spans="1:6" ht="20.399999999999999">
      <c r="A1295" s="323"/>
      <c r="B1295" s="63"/>
      <c r="C1295" s="63"/>
      <c r="D1295" s="63"/>
      <c r="E1295" s="326"/>
      <c r="F1295" s="63"/>
    </row>
    <row r="1296" spans="1:6" ht="20.399999999999999">
      <c r="A1296" s="323"/>
      <c r="B1296" s="63"/>
      <c r="C1296" s="63"/>
      <c r="D1296" s="63"/>
      <c r="E1296" s="326"/>
      <c r="F1296" s="63"/>
    </row>
    <row r="1297" spans="1:6" ht="20.399999999999999">
      <c r="A1297" s="323"/>
      <c r="B1297" s="63"/>
      <c r="C1297" s="63"/>
      <c r="D1297" s="63"/>
      <c r="E1297" s="326"/>
      <c r="F1297" s="63"/>
    </row>
    <row r="1298" spans="1:6" ht="20.399999999999999">
      <c r="A1298" s="323"/>
      <c r="B1298" s="63"/>
      <c r="C1298" s="63"/>
      <c r="D1298" s="63"/>
      <c r="E1298" s="326"/>
      <c r="F1298" s="63"/>
    </row>
    <row r="1299" spans="1:6" ht="20.399999999999999">
      <c r="A1299" s="323"/>
      <c r="B1299" s="63"/>
      <c r="C1299" s="63"/>
      <c r="D1299" s="63"/>
      <c r="E1299" s="326"/>
      <c r="F1299" s="63"/>
    </row>
    <row r="1300" spans="1:6" ht="20.399999999999999">
      <c r="A1300" s="323"/>
      <c r="B1300" s="63"/>
      <c r="C1300" s="63"/>
      <c r="D1300" s="63"/>
      <c r="E1300" s="326"/>
      <c r="F1300" s="63"/>
    </row>
    <row r="1301" spans="1:6" ht="20.399999999999999">
      <c r="A1301" s="323"/>
      <c r="B1301" s="63"/>
      <c r="C1301" s="63"/>
      <c r="D1301" s="63"/>
      <c r="E1301" s="326"/>
      <c r="F1301" s="63"/>
    </row>
    <row r="1302" spans="1:6" ht="20.399999999999999">
      <c r="A1302" s="323"/>
      <c r="B1302" s="63"/>
      <c r="C1302" s="63"/>
      <c r="D1302" s="63"/>
      <c r="E1302" s="326"/>
      <c r="F1302" s="63"/>
    </row>
    <row r="1303" spans="1:6" ht="20.399999999999999">
      <c r="A1303" s="323"/>
      <c r="B1303" s="63"/>
      <c r="C1303" s="63"/>
      <c r="D1303" s="63"/>
      <c r="E1303" s="326"/>
      <c r="F1303" s="63"/>
    </row>
    <row r="1304" spans="1:6" ht="20.399999999999999">
      <c r="A1304" s="323"/>
      <c r="B1304" s="63"/>
      <c r="C1304" s="63"/>
      <c r="D1304" s="63"/>
      <c r="E1304" s="326"/>
      <c r="F1304" s="63"/>
    </row>
    <row r="1305" spans="1:6" ht="20.399999999999999">
      <c r="A1305" s="323"/>
      <c r="B1305" s="63"/>
      <c r="C1305" s="63"/>
      <c r="D1305" s="63"/>
      <c r="E1305" s="326"/>
      <c r="F1305" s="63"/>
    </row>
    <row r="1306" spans="1:6" ht="20.399999999999999">
      <c r="A1306" s="323"/>
      <c r="B1306" s="63"/>
      <c r="C1306" s="63"/>
      <c r="D1306" s="63"/>
      <c r="E1306" s="326"/>
      <c r="F1306" s="63"/>
    </row>
    <row r="1307" spans="1:6" ht="20.399999999999999">
      <c r="A1307" s="323"/>
      <c r="B1307" s="63"/>
      <c r="C1307" s="63"/>
      <c r="D1307" s="63"/>
      <c r="E1307" s="326"/>
      <c r="F1307" s="63"/>
    </row>
    <row r="1308" spans="1:6" ht="20.399999999999999">
      <c r="A1308" s="323"/>
      <c r="B1308" s="63"/>
      <c r="C1308" s="63"/>
      <c r="D1308" s="63"/>
      <c r="E1308" s="326"/>
      <c r="F1308" s="63"/>
    </row>
    <row r="1309" spans="1:6" ht="20.399999999999999">
      <c r="A1309" s="323"/>
      <c r="B1309" s="63"/>
      <c r="C1309" s="63"/>
      <c r="D1309" s="63"/>
      <c r="E1309" s="326"/>
      <c r="F1309" s="63"/>
    </row>
    <row r="1310" spans="1:6" ht="20.399999999999999">
      <c r="A1310" s="323"/>
      <c r="B1310" s="63"/>
      <c r="C1310" s="63"/>
      <c r="D1310" s="63"/>
      <c r="E1310" s="326"/>
      <c r="F1310" s="63"/>
    </row>
    <row r="1311" spans="1:6" ht="20.399999999999999">
      <c r="A1311" s="323"/>
      <c r="B1311" s="63"/>
      <c r="C1311" s="63"/>
      <c r="D1311" s="63"/>
      <c r="E1311" s="326"/>
      <c r="F1311" s="63"/>
    </row>
    <row r="1312" spans="1:6" ht="20.399999999999999">
      <c r="A1312" s="323"/>
      <c r="B1312" s="63"/>
      <c r="C1312" s="63"/>
      <c r="D1312" s="63"/>
      <c r="E1312" s="326"/>
      <c r="F1312" s="63"/>
    </row>
    <row r="1313" spans="1:6" ht="20.399999999999999">
      <c r="A1313" s="323"/>
      <c r="B1313" s="63"/>
      <c r="C1313" s="63"/>
      <c r="D1313" s="63"/>
      <c r="E1313" s="326"/>
      <c r="F1313" s="63"/>
    </row>
    <row r="1314" spans="1:6" ht="20.399999999999999">
      <c r="A1314" s="323"/>
      <c r="B1314" s="63"/>
      <c r="C1314" s="63"/>
      <c r="D1314" s="63"/>
      <c r="E1314" s="326"/>
      <c r="F1314" s="63"/>
    </row>
    <row r="1315" spans="1:6" ht="20.399999999999999">
      <c r="A1315" s="323"/>
      <c r="B1315" s="63"/>
      <c r="C1315" s="63"/>
      <c r="D1315" s="63"/>
      <c r="E1315" s="326"/>
      <c r="F1315" s="63"/>
    </row>
    <row r="1316" spans="1:6" ht="20.399999999999999">
      <c r="A1316" s="323"/>
      <c r="B1316" s="63"/>
      <c r="C1316" s="63"/>
      <c r="D1316" s="63"/>
      <c r="E1316" s="326"/>
      <c r="F1316" s="63"/>
    </row>
    <row r="1317" spans="1:6" ht="20.399999999999999">
      <c r="A1317" s="323"/>
      <c r="B1317" s="63"/>
      <c r="C1317" s="63"/>
      <c r="D1317" s="63"/>
      <c r="E1317" s="326"/>
      <c r="F1317" s="63"/>
    </row>
    <row r="1318" spans="1:6" ht="20.399999999999999">
      <c r="A1318" s="323"/>
      <c r="B1318" s="63"/>
      <c r="C1318" s="63"/>
      <c r="D1318" s="63"/>
      <c r="E1318" s="326"/>
      <c r="F1318" s="63"/>
    </row>
    <row r="1319" spans="1:6" ht="20.399999999999999">
      <c r="A1319" s="323"/>
      <c r="B1319" s="63"/>
      <c r="C1319" s="63"/>
      <c r="D1319" s="63"/>
      <c r="E1319" s="326"/>
      <c r="F1319" s="63"/>
    </row>
    <row r="1320" spans="1:6" ht="20.399999999999999">
      <c r="A1320" s="323"/>
      <c r="B1320" s="63"/>
      <c r="C1320" s="63"/>
      <c r="D1320" s="63"/>
      <c r="E1320" s="326"/>
      <c r="F1320" s="63"/>
    </row>
    <row r="1321" spans="1:6" ht="20.399999999999999">
      <c r="A1321" s="323"/>
      <c r="B1321" s="63"/>
      <c r="C1321" s="63"/>
      <c r="D1321" s="63"/>
      <c r="E1321" s="326"/>
      <c r="F1321" s="63"/>
    </row>
    <row r="1322" spans="1:6" ht="20.399999999999999">
      <c r="A1322" s="323"/>
      <c r="B1322" s="63"/>
      <c r="C1322" s="63"/>
      <c r="D1322" s="63"/>
      <c r="E1322" s="326"/>
      <c r="F1322" s="63"/>
    </row>
    <row r="1323" spans="1:6" ht="20.399999999999999">
      <c r="A1323" s="323"/>
      <c r="B1323" s="63"/>
      <c r="C1323" s="63"/>
      <c r="D1323" s="63"/>
      <c r="E1323" s="326"/>
      <c r="F1323" s="63"/>
    </row>
    <row r="1324" spans="1:6" ht="20.399999999999999">
      <c r="A1324" s="323"/>
      <c r="B1324" s="63"/>
      <c r="C1324" s="63"/>
      <c r="D1324" s="63"/>
      <c r="E1324" s="326"/>
      <c r="F1324" s="63"/>
    </row>
    <row r="1325" spans="1:6" ht="20.399999999999999">
      <c r="A1325" s="323"/>
      <c r="B1325" s="63"/>
      <c r="C1325" s="63"/>
      <c r="D1325" s="63"/>
      <c r="E1325" s="326"/>
      <c r="F1325" s="63"/>
    </row>
    <row r="1326" spans="1:6" ht="20.399999999999999">
      <c r="A1326" s="323"/>
      <c r="B1326" s="63"/>
      <c r="C1326" s="63"/>
      <c r="D1326" s="63"/>
      <c r="E1326" s="326"/>
      <c r="F1326" s="63"/>
    </row>
    <row r="1327" spans="1:6" ht="20.399999999999999">
      <c r="A1327" s="323"/>
      <c r="B1327" s="63"/>
      <c r="C1327" s="63"/>
      <c r="D1327" s="63"/>
      <c r="E1327" s="326"/>
      <c r="F1327" s="63"/>
    </row>
    <row r="1328" spans="1:6" ht="20.399999999999999">
      <c r="A1328" s="323"/>
      <c r="B1328" s="63"/>
      <c r="C1328" s="63"/>
      <c r="D1328" s="63"/>
      <c r="E1328" s="326"/>
      <c r="F1328" s="63"/>
    </row>
    <row r="1329" spans="1:6" ht="20.399999999999999">
      <c r="A1329" s="323"/>
      <c r="B1329" s="63"/>
      <c r="C1329" s="63"/>
      <c r="D1329" s="63"/>
      <c r="E1329" s="326"/>
      <c r="F1329" s="63"/>
    </row>
    <row r="1330" spans="1:6" ht="20.399999999999999">
      <c r="A1330" s="323"/>
      <c r="B1330" s="63"/>
      <c r="C1330" s="63"/>
      <c r="D1330" s="63"/>
      <c r="E1330" s="326"/>
      <c r="F1330" s="63"/>
    </row>
    <row r="1331" spans="1:6" ht="20.399999999999999">
      <c r="A1331" s="323"/>
      <c r="B1331" s="63"/>
      <c r="C1331" s="63"/>
      <c r="D1331" s="63"/>
      <c r="E1331" s="326"/>
      <c r="F1331" s="63"/>
    </row>
    <row r="1332" spans="1:6" ht="20.399999999999999">
      <c r="A1332" s="323"/>
      <c r="B1332" s="63"/>
      <c r="C1332" s="63"/>
      <c r="D1332" s="63"/>
      <c r="E1332" s="326"/>
      <c r="F1332" s="63"/>
    </row>
    <row r="1333" spans="1:6" ht="20.399999999999999">
      <c r="A1333" s="323"/>
      <c r="B1333" s="63"/>
      <c r="C1333" s="63"/>
      <c r="D1333" s="63"/>
      <c r="E1333" s="326"/>
      <c r="F1333" s="63"/>
    </row>
    <row r="1334" spans="1:6" ht="20.399999999999999">
      <c r="A1334" s="323"/>
      <c r="B1334" s="63"/>
      <c r="C1334" s="63"/>
      <c r="D1334" s="63"/>
      <c r="E1334" s="326"/>
      <c r="F1334" s="63"/>
    </row>
    <row r="1335" spans="1:6" ht="20.399999999999999">
      <c r="A1335" s="323"/>
      <c r="B1335" s="63"/>
      <c r="C1335" s="63"/>
      <c r="D1335" s="63"/>
      <c r="E1335" s="326"/>
      <c r="F1335" s="63"/>
    </row>
    <row r="1336" spans="1:6" ht="20.399999999999999">
      <c r="A1336" s="323"/>
      <c r="B1336" s="63"/>
      <c r="C1336" s="63"/>
      <c r="D1336" s="63"/>
      <c r="E1336" s="326"/>
      <c r="F1336" s="63"/>
    </row>
    <row r="1337" spans="1:6" ht="20.399999999999999">
      <c r="A1337" s="323"/>
      <c r="B1337" s="63"/>
      <c r="C1337" s="63"/>
      <c r="D1337" s="63"/>
      <c r="E1337" s="326"/>
      <c r="F1337" s="63"/>
    </row>
    <row r="1338" spans="1:6" ht="20.399999999999999">
      <c r="A1338" s="323"/>
      <c r="B1338" s="63"/>
      <c r="C1338" s="63"/>
      <c r="D1338" s="63"/>
      <c r="E1338" s="326"/>
      <c r="F1338" s="63"/>
    </row>
    <row r="1339" spans="1:6" ht="20.399999999999999">
      <c r="A1339" s="323"/>
      <c r="B1339" s="63"/>
      <c r="C1339" s="63"/>
      <c r="D1339" s="63"/>
      <c r="E1339" s="326"/>
      <c r="F1339" s="63"/>
    </row>
    <row r="1340" spans="1:6" ht="20.399999999999999">
      <c r="A1340" s="323"/>
      <c r="B1340" s="63"/>
      <c r="C1340" s="63"/>
      <c r="D1340" s="63"/>
      <c r="E1340" s="326"/>
      <c r="F1340" s="63"/>
    </row>
    <row r="1341" spans="1:6" ht="20.399999999999999">
      <c r="A1341" s="323"/>
      <c r="B1341" s="63"/>
      <c r="C1341" s="63"/>
      <c r="D1341" s="63"/>
      <c r="E1341" s="326"/>
      <c r="F1341" s="63"/>
    </row>
    <row r="1342" spans="1:6" ht="20.399999999999999">
      <c r="A1342" s="323"/>
      <c r="B1342" s="63"/>
      <c r="C1342" s="63"/>
      <c r="D1342" s="63"/>
      <c r="E1342" s="326"/>
      <c r="F1342" s="63"/>
    </row>
    <row r="1343" spans="1:6" ht="20.399999999999999">
      <c r="A1343" s="323"/>
      <c r="B1343" s="63"/>
      <c r="C1343" s="63"/>
      <c r="D1343" s="63"/>
      <c r="E1343" s="326"/>
      <c r="F1343" s="63"/>
    </row>
    <row r="1344" spans="1:6" ht="20.399999999999999">
      <c r="A1344" s="323"/>
      <c r="B1344" s="63"/>
      <c r="C1344" s="63"/>
      <c r="D1344" s="63"/>
      <c r="E1344" s="326"/>
      <c r="F1344" s="63"/>
    </row>
    <row r="1345" spans="1:6" ht="20.399999999999999">
      <c r="A1345" s="323"/>
      <c r="B1345" s="63"/>
      <c r="C1345" s="63"/>
      <c r="D1345" s="63"/>
      <c r="E1345" s="326"/>
      <c r="F1345" s="63"/>
    </row>
    <row r="1346" spans="1:6" ht="20.399999999999999">
      <c r="A1346" s="323"/>
      <c r="B1346" s="63"/>
      <c r="C1346" s="63"/>
      <c r="D1346" s="63"/>
      <c r="E1346" s="326"/>
      <c r="F1346" s="63"/>
    </row>
    <row r="1347" spans="1:6" ht="20.399999999999999">
      <c r="A1347" s="323"/>
      <c r="B1347" s="63"/>
      <c r="C1347" s="63"/>
      <c r="D1347" s="63"/>
      <c r="E1347" s="326"/>
      <c r="F1347" s="63"/>
    </row>
    <row r="1348" spans="1:6" ht="20.399999999999999">
      <c r="A1348" s="323"/>
      <c r="B1348" s="63"/>
      <c r="C1348" s="63"/>
      <c r="D1348" s="63"/>
      <c r="E1348" s="326"/>
      <c r="F1348" s="63"/>
    </row>
    <row r="1349" spans="1:6" ht="20.399999999999999">
      <c r="A1349" s="323"/>
      <c r="B1349" s="63"/>
      <c r="C1349" s="63"/>
      <c r="D1349" s="63"/>
      <c r="E1349" s="326"/>
      <c r="F1349" s="63"/>
    </row>
    <row r="1350" spans="1:6" ht="20.399999999999999">
      <c r="A1350" s="323"/>
      <c r="B1350" s="63"/>
      <c r="C1350" s="63"/>
      <c r="D1350" s="63"/>
      <c r="E1350" s="326"/>
      <c r="F1350" s="63"/>
    </row>
    <row r="1351" spans="1:6" ht="20.399999999999999">
      <c r="A1351" s="323"/>
      <c r="B1351" s="63"/>
      <c r="C1351" s="63"/>
      <c r="D1351" s="63"/>
      <c r="E1351" s="326"/>
      <c r="F1351" s="63"/>
    </row>
    <row r="1352" spans="1:6" ht="20.399999999999999">
      <c r="A1352" s="323"/>
      <c r="B1352" s="63"/>
      <c r="C1352" s="63"/>
      <c r="D1352" s="63"/>
      <c r="E1352" s="326"/>
      <c r="F1352" s="63"/>
    </row>
    <row r="1353" spans="1:6" ht="20.399999999999999">
      <c r="A1353" s="323"/>
      <c r="B1353" s="63"/>
      <c r="C1353" s="63"/>
      <c r="D1353" s="63"/>
      <c r="E1353" s="326"/>
      <c r="F1353" s="63"/>
    </row>
    <row r="1354" spans="1:6" ht="20.399999999999999">
      <c r="A1354" s="323"/>
      <c r="B1354" s="63"/>
      <c r="C1354" s="63"/>
      <c r="D1354" s="63"/>
      <c r="E1354" s="326"/>
      <c r="F1354" s="63"/>
    </row>
    <row r="1355" spans="1:6" ht="20.399999999999999">
      <c r="A1355" s="323"/>
      <c r="B1355" s="63"/>
      <c r="C1355" s="63"/>
      <c r="D1355" s="63"/>
      <c r="E1355" s="326"/>
      <c r="F1355" s="63"/>
    </row>
    <row r="1356" spans="1:6" ht="20.399999999999999">
      <c r="A1356" s="323"/>
      <c r="B1356" s="63"/>
      <c r="C1356" s="63"/>
      <c r="D1356" s="63"/>
      <c r="E1356" s="326"/>
      <c r="F1356" s="63"/>
    </row>
    <row r="1357" spans="1:6" ht="20.399999999999999">
      <c r="A1357" s="323"/>
      <c r="B1357" s="63"/>
      <c r="C1357" s="63"/>
      <c r="D1357" s="63"/>
      <c r="E1357" s="326"/>
      <c r="F1357" s="63"/>
    </row>
    <row r="1358" spans="1:6" ht="20.399999999999999">
      <c r="A1358" s="323"/>
      <c r="B1358" s="63"/>
      <c r="C1358" s="63"/>
      <c r="D1358" s="63"/>
      <c r="E1358" s="326"/>
      <c r="F1358" s="63"/>
    </row>
    <row r="1359" spans="1:6" ht="20.399999999999999">
      <c r="A1359" s="323"/>
      <c r="B1359" s="63"/>
      <c r="C1359" s="63"/>
      <c r="D1359" s="63"/>
      <c r="E1359" s="326"/>
      <c r="F1359" s="63"/>
    </row>
    <row r="1360" spans="1:6" ht="20.399999999999999">
      <c r="A1360" s="323"/>
      <c r="B1360" s="63"/>
      <c r="C1360" s="63"/>
      <c r="D1360" s="63"/>
      <c r="E1360" s="326"/>
      <c r="F1360" s="63"/>
    </row>
    <row r="1361" spans="1:6" ht="20.399999999999999">
      <c r="A1361" s="323"/>
      <c r="B1361" s="63"/>
      <c r="C1361" s="63"/>
      <c r="D1361" s="63"/>
      <c r="E1361" s="326"/>
      <c r="F1361" s="63"/>
    </row>
    <row r="1362" spans="1:6" ht="20.399999999999999">
      <c r="A1362" s="323"/>
      <c r="B1362" s="63"/>
      <c r="C1362" s="63"/>
      <c r="D1362" s="63"/>
      <c r="E1362" s="326"/>
      <c r="F1362" s="63"/>
    </row>
    <row r="1363" spans="1:6" ht="20.399999999999999">
      <c r="A1363" s="323"/>
      <c r="B1363" s="63"/>
      <c r="C1363" s="63"/>
      <c r="D1363" s="63"/>
      <c r="E1363" s="326"/>
      <c r="F1363" s="63"/>
    </row>
    <row r="1364" spans="1:6" ht="20.399999999999999">
      <c r="A1364" s="323"/>
      <c r="B1364" s="63"/>
      <c r="C1364" s="63"/>
      <c r="D1364" s="63"/>
      <c r="E1364" s="326"/>
      <c r="F1364" s="63"/>
    </row>
    <row r="1365" spans="1:6" ht="20.399999999999999">
      <c r="A1365" s="323"/>
      <c r="B1365" s="63"/>
      <c r="C1365" s="63"/>
      <c r="D1365" s="63"/>
      <c r="E1365" s="326"/>
      <c r="F1365" s="63"/>
    </row>
    <row r="1366" spans="1:6" ht="20.399999999999999">
      <c r="A1366" s="323"/>
      <c r="B1366" s="63"/>
      <c r="C1366" s="63"/>
      <c r="D1366" s="63"/>
      <c r="E1366" s="326"/>
      <c r="F1366" s="63"/>
    </row>
    <row r="1367" spans="1:6" ht="20.399999999999999">
      <c r="A1367" s="323"/>
      <c r="B1367" s="63"/>
      <c r="C1367" s="63"/>
      <c r="D1367" s="63"/>
      <c r="E1367" s="326"/>
      <c r="F1367" s="63"/>
    </row>
    <row r="1368" spans="1:6" ht="20.399999999999999">
      <c r="A1368" s="323"/>
      <c r="B1368" s="63"/>
      <c r="C1368" s="63"/>
      <c r="D1368" s="63"/>
      <c r="E1368" s="326"/>
      <c r="F1368" s="63"/>
    </row>
    <row r="1369" spans="1:6" ht="20.399999999999999">
      <c r="A1369" s="323"/>
      <c r="B1369" s="63"/>
      <c r="C1369" s="63"/>
      <c r="D1369" s="63"/>
      <c r="E1369" s="326"/>
      <c r="F1369" s="63"/>
    </row>
    <row r="1370" spans="1:6" ht="20.399999999999999">
      <c r="A1370" s="323"/>
      <c r="B1370" s="63"/>
      <c r="C1370" s="63"/>
      <c r="D1370" s="63"/>
      <c r="E1370" s="326"/>
      <c r="F1370" s="63"/>
    </row>
    <row r="1371" spans="1:6" ht="20.399999999999999">
      <c r="A1371" s="323"/>
      <c r="B1371" s="63"/>
      <c r="C1371" s="63"/>
      <c r="D1371" s="63"/>
      <c r="E1371" s="326"/>
      <c r="F1371" s="63"/>
    </row>
    <row r="1372" spans="1:6" ht="20.399999999999999">
      <c r="A1372" s="323"/>
      <c r="B1372" s="63"/>
      <c r="C1372" s="63"/>
      <c r="D1372" s="63"/>
      <c r="E1372" s="326"/>
      <c r="F1372" s="63"/>
    </row>
    <row r="1373" spans="1:6" ht="20.399999999999999">
      <c r="A1373" s="323"/>
      <c r="B1373" s="63"/>
      <c r="C1373" s="63"/>
      <c r="D1373" s="63"/>
      <c r="E1373" s="326"/>
      <c r="F1373" s="63"/>
    </row>
    <row r="1374" spans="1:6" ht="20.399999999999999">
      <c r="A1374" s="323"/>
      <c r="B1374" s="63"/>
      <c r="C1374" s="63"/>
      <c r="D1374" s="63"/>
      <c r="E1374" s="326"/>
      <c r="F1374" s="63"/>
    </row>
    <row r="1375" spans="1:6" ht="20.399999999999999">
      <c r="A1375" s="323"/>
      <c r="B1375" s="63"/>
      <c r="C1375" s="63"/>
      <c r="D1375" s="63"/>
      <c r="E1375" s="326"/>
      <c r="F1375" s="63"/>
    </row>
    <row r="1376" spans="1:6" ht="20.399999999999999">
      <c r="A1376" s="323"/>
      <c r="B1376" s="63"/>
      <c r="C1376" s="63"/>
      <c r="D1376" s="63"/>
      <c r="E1376" s="326"/>
      <c r="F1376" s="63"/>
    </row>
    <row r="1377" spans="1:6" ht="20.399999999999999">
      <c r="A1377" s="323"/>
      <c r="B1377" s="63"/>
      <c r="C1377" s="63"/>
      <c r="D1377" s="63"/>
      <c r="E1377" s="326"/>
      <c r="F1377" s="63"/>
    </row>
    <row r="1378" spans="1:6" ht="20.399999999999999">
      <c r="A1378" s="323"/>
      <c r="B1378" s="63"/>
      <c r="C1378" s="63"/>
      <c r="D1378" s="63"/>
      <c r="E1378" s="326"/>
      <c r="F1378" s="63"/>
    </row>
    <row r="1379" spans="1:6" ht="20.399999999999999">
      <c r="A1379" s="323"/>
      <c r="B1379" s="63"/>
      <c r="C1379" s="63"/>
      <c r="D1379" s="63"/>
      <c r="E1379" s="326"/>
      <c r="F1379" s="63"/>
    </row>
    <row r="1380" spans="1:6" ht="20.399999999999999">
      <c r="A1380" s="323"/>
      <c r="B1380" s="63"/>
      <c r="C1380" s="63"/>
      <c r="D1380" s="63"/>
      <c r="E1380" s="326"/>
      <c r="F1380" s="63"/>
    </row>
    <row r="1381" spans="1:6" ht="20.399999999999999">
      <c r="A1381" s="323"/>
      <c r="B1381" s="63"/>
      <c r="C1381" s="63"/>
      <c r="D1381" s="63"/>
      <c r="E1381" s="326"/>
      <c r="F1381" s="63"/>
    </row>
    <row r="1382" spans="1:6" ht="20.399999999999999">
      <c r="A1382" s="323"/>
      <c r="B1382" s="63"/>
      <c r="C1382" s="63"/>
      <c r="D1382" s="63"/>
      <c r="E1382" s="326"/>
      <c r="F1382" s="63"/>
    </row>
    <row r="1383" spans="1:6" ht="20.399999999999999">
      <c r="A1383" s="323"/>
      <c r="B1383" s="63"/>
      <c r="C1383" s="63"/>
      <c r="D1383" s="63"/>
      <c r="E1383" s="326"/>
      <c r="F1383" s="63"/>
    </row>
    <row r="1384" spans="1:6" ht="20.399999999999999">
      <c r="A1384" s="323"/>
      <c r="B1384" s="63"/>
      <c r="C1384" s="63"/>
      <c r="D1384" s="63"/>
      <c r="E1384" s="326"/>
      <c r="F1384" s="63"/>
    </row>
    <row r="1385" spans="1:6" ht="20.399999999999999">
      <c r="A1385" s="323"/>
      <c r="B1385" s="63"/>
      <c r="C1385" s="63"/>
      <c r="D1385" s="63"/>
      <c r="E1385" s="326"/>
      <c r="F1385" s="63"/>
    </row>
    <row r="1386" spans="1:6" ht="20.399999999999999">
      <c r="A1386" s="323"/>
      <c r="B1386" s="63"/>
      <c r="C1386" s="63"/>
      <c r="D1386" s="63"/>
      <c r="E1386" s="326"/>
      <c r="F1386" s="63"/>
    </row>
    <row r="1387" spans="1:6" ht="20.399999999999999">
      <c r="A1387" s="323"/>
      <c r="B1387" s="63"/>
      <c r="C1387" s="63"/>
      <c r="D1387" s="63"/>
      <c r="E1387" s="326"/>
      <c r="F1387" s="63"/>
    </row>
    <row r="1388" spans="1:6" ht="20.399999999999999">
      <c r="A1388" s="323"/>
      <c r="B1388" s="63"/>
      <c r="C1388" s="63"/>
      <c r="D1388" s="63"/>
      <c r="E1388" s="326"/>
      <c r="F1388" s="63"/>
    </row>
    <row r="1389" spans="1:6" ht="20.399999999999999">
      <c r="A1389" s="323"/>
      <c r="B1389" s="63"/>
      <c r="C1389" s="63"/>
      <c r="D1389" s="63"/>
      <c r="E1389" s="326"/>
      <c r="F1389" s="63"/>
    </row>
    <row r="1390" spans="1:6" ht="20.399999999999999">
      <c r="A1390" s="323"/>
      <c r="B1390" s="63"/>
      <c r="C1390" s="63"/>
      <c r="D1390" s="63"/>
      <c r="E1390" s="326"/>
      <c r="F1390" s="63"/>
    </row>
    <row r="1391" spans="1:6" ht="20.399999999999999">
      <c r="A1391" s="323"/>
      <c r="B1391" s="63"/>
      <c r="C1391" s="63"/>
      <c r="D1391" s="63"/>
      <c r="E1391" s="326"/>
      <c r="F1391" s="63"/>
    </row>
    <row r="1392" spans="1:6" ht="20.399999999999999">
      <c r="A1392" s="323"/>
      <c r="B1392" s="63"/>
      <c r="C1392" s="63"/>
      <c r="D1392" s="63"/>
      <c r="E1392" s="326"/>
      <c r="F1392" s="63"/>
    </row>
    <row r="1393" spans="1:6" ht="20.399999999999999">
      <c r="A1393" s="323"/>
      <c r="B1393" s="63"/>
      <c r="C1393" s="63"/>
      <c r="D1393" s="63"/>
      <c r="E1393" s="326"/>
      <c r="F1393" s="63"/>
    </row>
    <row r="1394" spans="1:6" ht="20.399999999999999">
      <c r="A1394" s="323"/>
      <c r="B1394" s="63"/>
      <c r="C1394" s="63"/>
      <c r="D1394" s="63"/>
      <c r="E1394" s="326"/>
      <c r="F1394" s="63"/>
    </row>
    <row r="1395" spans="1:6" ht="20.399999999999999">
      <c r="A1395" s="323"/>
      <c r="B1395" s="63"/>
      <c r="C1395" s="63"/>
      <c r="D1395" s="63"/>
      <c r="E1395" s="326"/>
      <c r="F1395" s="63"/>
    </row>
    <row r="1396" spans="1:6" ht="20.399999999999999">
      <c r="A1396" s="323"/>
      <c r="B1396" s="63"/>
      <c r="C1396" s="63"/>
      <c r="D1396" s="63"/>
      <c r="E1396" s="326"/>
      <c r="F1396" s="63"/>
    </row>
    <row r="1397" spans="1:6" ht="20.399999999999999">
      <c r="A1397" s="323"/>
      <c r="B1397" s="63"/>
      <c r="C1397" s="63"/>
      <c r="D1397" s="63"/>
      <c r="E1397" s="326"/>
      <c r="F1397" s="63"/>
    </row>
    <row r="1398" spans="1:6" ht="20.399999999999999">
      <c r="A1398" s="323"/>
      <c r="B1398" s="63"/>
      <c r="C1398" s="63"/>
      <c r="D1398" s="63"/>
      <c r="E1398" s="326"/>
      <c r="F1398" s="63"/>
    </row>
    <row r="1399" spans="1:6" ht="20.399999999999999">
      <c r="A1399" s="323"/>
      <c r="B1399" s="63"/>
      <c r="C1399" s="63"/>
      <c r="D1399" s="63"/>
      <c r="E1399" s="326"/>
      <c r="F1399" s="63"/>
    </row>
    <row r="1400" spans="1:6" ht="20.399999999999999">
      <c r="A1400" s="323"/>
      <c r="B1400" s="63"/>
      <c r="C1400" s="63"/>
      <c r="D1400" s="63"/>
      <c r="E1400" s="326"/>
      <c r="F1400" s="63"/>
    </row>
    <row r="1401" spans="1:6" ht="20.399999999999999">
      <c r="A1401" s="323"/>
      <c r="B1401" s="63"/>
      <c r="C1401" s="63"/>
      <c r="D1401" s="63"/>
      <c r="E1401" s="326"/>
      <c r="F1401" s="63"/>
    </row>
    <row r="1402" spans="1:6" ht="20.399999999999999">
      <c r="A1402" s="323"/>
      <c r="B1402" s="63"/>
      <c r="C1402" s="63"/>
      <c r="D1402" s="63"/>
      <c r="E1402" s="326"/>
      <c r="F1402" s="63"/>
    </row>
    <row r="1403" spans="1:6" ht="20.399999999999999">
      <c r="A1403" s="323"/>
      <c r="B1403" s="63"/>
      <c r="C1403" s="63"/>
      <c r="D1403" s="63"/>
      <c r="E1403" s="326"/>
      <c r="F1403" s="63"/>
    </row>
    <row r="1404" spans="1:6" ht="20.399999999999999">
      <c r="A1404" s="323"/>
      <c r="B1404" s="63"/>
      <c r="C1404" s="63"/>
      <c r="D1404" s="63"/>
      <c r="E1404" s="326"/>
      <c r="F1404" s="63"/>
    </row>
    <row r="1405" spans="1:6" ht="20.399999999999999">
      <c r="A1405" s="323"/>
      <c r="B1405" s="63"/>
      <c r="C1405" s="63"/>
      <c r="D1405" s="63"/>
      <c r="E1405" s="326"/>
      <c r="F1405" s="63"/>
    </row>
    <row r="1406" spans="1:6" ht="20.399999999999999">
      <c r="A1406" s="323"/>
      <c r="B1406" s="63"/>
      <c r="C1406" s="63"/>
      <c r="D1406" s="63"/>
      <c r="E1406" s="326"/>
      <c r="F1406" s="63"/>
    </row>
    <row r="1407" spans="1:6" ht="20.399999999999999">
      <c r="A1407" s="323"/>
      <c r="B1407" s="63"/>
      <c r="C1407" s="63"/>
      <c r="D1407" s="63"/>
      <c r="E1407" s="326"/>
      <c r="F1407" s="63"/>
    </row>
    <row r="1408" spans="1:6" ht="20.399999999999999">
      <c r="A1408" s="323"/>
      <c r="B1408" s="63"/>
      <c r="C1408" s="63"/>
      <c r="D1408" s="63"/>
      <c r="E1408" s="326"/>
      <c r="F1408" s="63"/>
    </row>
    <row r="1409" spans="1:6" ht="20.399999999999999">
      <c r="A1409" s="323"/>
      <c r="B1409" s="63"/>
      <c r="C1409" s="63"/>
      <c r="D1409" s="63"/>
      <c r="E1409" s="326"/>
      <c r="F1409" s="63"/>
    </row>
    <row r="1410" spans="1:6" ht="20.399999999999999">
      <c r="A1410" s="323"/>
      <c r="B1410" s="63"/>
      <c r="C1410" s="63"/>
      <c r="D1410" s="63"/>
      <c r="E1410" s="326"/>
      <c r="F1410" s="63"/>
    </row>
    <row r="1411" spans="1:6" ht="20.399999999999999">
      <c r="A1411" s="323"/>
      <c r="B1411" s="63"/>
      <c r="C1411" s="63"/>
      <c r="D1411" s="63"/>
      <c r="E1411" s="326"/>
      <c r="F1411" s="63"/>
    </row>
    <row r="1412" spans="1:6" ht="20.399999999999999">
      <c r="A1412" s="323"/>
      <c r="B1412" s="63"/>
      <c r="C1412" s="63"/>
      <c r="D1412" s="63"/>
      <c r="E1412" s="326"/>
      <c r="F1412" s="63"/>
    </row>
    <row r="1413" spans="1:6" ht="20.399999999999999">
      <c r="A1413" s="323"/>
      <c r="B1413" s="63"/>
      <c r="C1413" s="63"/>
      <c r="D1413" s="63"/>
      <c r="E1413" s="326"/>
      <c r="F1413" s="63"/>
    </row>
    <row r="1414" spans="1:6" ht="20.399999999999999">
      <c r="A1414" s="323"/>
      <c r="B1414" s="63"/>
      <c r="C1414" s="63"/>
      <c r="D1414" s="63"/>
      <c r="E1414" s="326"/>
      <c r="F1414" s="63"/>
    </row>
    <row r="1415" spans="1:6" ht="20.399999999999999">
      <c r="A1415" s="323"/>
      <c r="B1415" s="63"/>
      <c r="C1415" s="63"/>
      <c r="D1415" s="63"/>
      <c r="E1415" s="326"/>
      <c r="F1415" s="63"/>
    </row>
    <row r="1416" spans="1:6" ht="20.399999999999999">
      <c r="A1416" s="323"/>
      <c r="B1416" s="63"/>
      <c r="C1416" s="63"/>
      <c r="D1416" s="63"/>
      <c r="E1416" s="326"/>
      <c r="F1416" s="63"/>
    </row>
    <row r="1417" spans="1:6" ht="20.399999999999999">
      <c r="A1417" s="323"/>
      <c r="B1417" s="63"/>
      <c r="C1417" s="63"/>
      <c r="D1417" s="63"/>
      <c r="E1417" s="326"/>
      <c r="F1417" s="63"/>
    </row>
    <row r="1418" spans="1:6" ht="20.399999999999999">
      <c r="A1418" s="323"/>
      <c r="B1418" s="63"/>
      <c r="C1418" s="63"/>
      <c r="D1418" s="63"/>
      <c r="E1418" s="326"/>
      <c r="F1418" s="63"/>
    </row>
    <row r="1419" spans="1:6" ht="20.399999999999999">
      <c r="A1419" s="323"/>
      <c r="B1419" s="63"/>
      <c r="C1419" s="63"/>
      <c r="D1419" s="63"/>
      <c r="E1419" s="326"/>
      <c r="F1419" s="63"/>
    </row>
    <row r="1420" spans="1:6" ht="20.399999999999999">
      <c r="A1420" s="323"/>
      <c r="B1420" s="63"/>
      <c r="C1420" s="63"/>
      <c r="D1420" s="63"/>
      <c r="E1420" s="326"/>
      <c r="F1420" s="63"/>
    </row>
    <row r="1421" spans="1:6" ht="20.399999999999999">
      <c r="A1421" s="323"/>
      <c r="B1421" s="63"/>
      <c r="C1421" s="63"/>
      <c r="D1421" s="63"/>
      <c r="E1421" s="326"/>
      <c r="F1421" s="63"/>
    </row>
    <row r="1422" spans="1:6" ht="20.399999999999999">
      <c r="A1422" s="323"/>
      <c r="B1422" s="63"/>
      <c r="C1422" s="63"/>
      <c r="D1422" s="63"/>
      <c r="E1422" s="326"/>
      <c r="F1422" s="63"/>
    </row>
    <row r="1423" spans="1:6" ht="20.399999999999999">
      <c r="A1423" s="323"/>
      <c r="B1423" s="63"/>
      <c r="C1423" s="63"/>
      <c r="D1423" s="63"/>
      <c r="E1423" s="326"/>
      <c r="F1423" s="63"/>
    </row>
    <row r="1424" spans="1:6" ht="20.399999999999999">
      <c r="A1424" s="323"/>
      <c r="B1424" s="63"/>
      <c r="C1424" s="63"/>
      <c r="D1424" s="63"/>
      <c r="E1424" s="326"/>
      <c r="F1424" s="63"/>
    </row>
    <row r="1425" spans="1:6" ht="20.399999999999999">
      <c r="A1425" s="323"/>
      <c r="B1425" s="63"/>
      <c r="C1425" s="63"/>
      <c r="D1425" s="63"/>
      <c r="E1425" s="326"/>
      <c r="F1425" s="63"/>
    </row>
    <row r="1426" spans="1:6" ht="20.399999999999999">
      <c r="A1426" s="323"/>
      <c r="B1426" s="63"/>
      <c r="C1426" s="63"/>
      <c r="D1426" s="63"/>
      <c r="E1426" s="326"/>
      <c r="F1426" s="63"/>
    </row>
    <row r="1427" spans="1:6" ht="20.399999999999999">
      <c r="A1427" s="323"/>
      <c r="B1427" s="63"/>
      <c r="C1427" s="63"/>
      <c r="D1427" s="63"/>
      <c r="E1427" s="326"/>
      <c r="F1427" s="63"/>
    </row>
    <row r="1428" spans="1:6" ht="20.399999999999999">
      <c r="A1428" s="323"/>
      <c r="B1428" s="63"/>
      <c r="C1428" s="63"/>
      <c r="D1428" s="63"/>
      <c r="E1428" s="326"/>
      <c r="F1428" s="63"/>
    </row>
    <row r="1429" spans="1:6" ht="20.399999999999999">
      <c r="A1429" s="323"/>
      <c r="B1429" s="63"/>
      <c r="C1429" s="63"/>
      <c r="D1429" s="63"/>
      <c r="E1429" s="326"/>
      <c r="F1429" s="63"/>
    </row>
    <row r="1430" spans="1:6" ht="20.399999999999999">
      <c r="A1430" s="323"/>
      <c r="B1430" s="63"/>
      <c r="C1430" s="63"/>
      <c r="D1430" s="63"/>
      <c r="E1430" s="326"/>
      <c r="F1430" s="63"/>
    </row>
    <row r="1431" spans="1:6" ht="20.399999999999999">
      <c r="A1431" s="323"/>
      <c r="B1431" s="63"/>
      <c r="C1431" s="63"/>
      <c r="D1431" s="63"/>
      <c r="E1431" s="326"/>
      <c r="F1431" s="63"/>
    </row>
    <row r="1432" spans="1:6" ht="20.399999999999999">
      <c r="A1432" s="323"/>
      <c r="B1432" s="63"/>
      <c r="C1432" s="63"/>
      <c r="D1432" s="63"/>
      <c r="E1432" s="326"/>
      <c r="F1432" s="63"/>
    </row>
    <row r="1433" spans="1:6" ht="20.399999999999999">
      <c r="A1433" s="323"/>
      <c r="B1433" s="63"/>
      <c r="C1433" s="63"/>
      <c r="D1433" s="63"/>
      <c r="E1433" s="326"/>
      <c r="F1433" s="63"/>
    </row>
    <row r="1434" spans="1:6" ht="20.399999999999999">
      <c r="A1434" s="323"/>
      <c r="B1434" s="63"/>
      <c r="C1434" s="63"/>
      <c r="D1434" s="63"/>
      <c r="E1434" s="326"/>
      <c r="F1434" s="63"/>
    </row>
    <row r="1435" spans="1:6" ht="20.399999999999999">
      <c r="A1435" s="323"/>
      <c r="B1435" s="63"/>
      <c r="C1435" s="63"/>
      <c r="D1435" s="63"/>
      <c r="E1435" s="326"/>
      <c r="F1435" s="63"/>
    </row>
    <row r="1436" spans="1:6" ht="20.399999999999999">
      <c r="A1436" s="323"/>
      <c r="B1436" s="63"/>
      <c r="C1436" s="63"/>
      <c r="D1436" s="63"/>
      <c r="E1436" s="326"/>
      <c r="F1436" s="63"/>
    </row>
    <row r="1437" spans="1:6" ht="20.399999999999999">
      <c r="A1437" s="323"/>
      <c r="B1437" s="63"/>
      <c r="C1437" s="63"/>
      <c r="D1437" s="63"/>
      <c r="E1437" s="326"/>
      <c r="F1437" s="63"/>
    </row>
    <row r="1438" spans="1:6" ht="20.399999999999999">
      <c r="A1438" s="323"/>
      <c r="B1438" s="63"/>
      <c r="C1438" s="63"/>
      <c r="D1438" s="63"/>
      <c r="E1438" s="326"/>
      <c r="F1438" s="63"/>
    </row>
    <row r="1439" spans="1:6" ht="20.399999999999999">
      <c r="A1439" s="323"/>
      <c r="B1439" s="63"/>
      <c r="C1439" s="63"/>
      <c r="D1439" s="63"/>
      <c r="E1439" s="326"/>
      <c r="F1439" s="63"/>
    </row>
    <row r="1440" spans="1:6" ht="20.399999999999999">
      <c r="A1440" s="323"/>
      <c r="B1440" s="63"/>
      <c r="C1440" s="63"/>
      <c r="D1440" s="63"/>
      <c r="E1440" s="326"/>
      <c r="F1440" s="63"/>
    </row>
    <row r="1441" spans="1:6" ht="20.399999999999999">
      <c r="A1441" s="323"/>
      <c r="B1441" s="63"/>
      <c r="C1441" s="63"/>
      <c r="D1441" s="63"/>
      <c r="E1441" s="326"/>
      <c r="F1441" s="63"/>
    </row>
    <row r="1442" spans="1:6" ht="20.399999999999999">
      <c r="A1442" s="323"/>
      <c r="B1442" s="63"/>
      <c r="C1442" s="63"/>
      <c r="D1442" s="63"/>
      <c r="E1442" s="326"/>
      <c r="F1442" s="63"/>
    </row>
    <row r="1443" spans="1:6" ht="20.399999999999999">
      <c r="A1443" s="323"/>
      <c r="B1443" s="63"/>
      <c r="C1443" s="63"/>
      <c r="D1443" s="63"/>
      <c r="E1443" s="326"/>
      <c r="F1443" s="63"/>
    </row>
    <row r="1444" spans="1:6" ht="20.399999999999999">
      <c r="A1444" s="323"/>
      <c r="B1444" s="63"/>
      <c r="C1444" s="63"/>
      <c r="D1444" s="63"/>
      <c r="E1444" s="326"/>
      <c r="F1444" s="63"/>
    </row>
    <row r="1445" spans="1:6" ht="20.399999999999999">
      <c r="A1445" s="323"/>
      <c r="B1445" s="63"/>
      <c r="C1445" s="63"/>
      <c r="D1445" s="63"/>
      <c r="E1445" s="326"/>
      <c r="F1445" s="63"/>
    </row>
    <row r="1446" spans="1:6" ht="20.399999999999999">
      <c r="A1446" s="323"/>
      <c r="B1446" s="63"/>
      <c r="C1446" s="63"/>
      <c r="D1446" s="63"/>
      <c r="E1446" s="326"/>
      <c r="F1446" s="63"/>
    </row>
    <row r="1447" spans="1:6" ht="20.399999999999999">
      <c r="A1447" s="323"/>
      <c r="B1447" s="63"/>
      <c r="C1447" s="63"/>
      <c r="D1447" s="63"/>
      <c r="E1447" s="326"/>
      <c r="F1447" s="63"/>
    </row>
    <row r="1448" spans="1:6" ht="20.399999999999999">
      <c r="A1448" s="323"/>
      <c r="B1448" s="63"/>
      <c r="C1448" s="63"/>
      <c r="D1448" s="63"/>
      <c r="E1448" s="326"/>
      <c r="F1448" s="63"/>
    </row>
    <row r="1449" spans="1:6" ht="20.399999999999999">
      <c r="A1449" s="323"/>
      <c r="B1449" s="63"/>
      <c r="C1449" s="63"/>
      <c r="D1449" s="63"/>
      <c r="E1449" s="326"/>
      <c r="F1449" s="63"/>
    </row>
    <row r="1450" spans="1:6" ht="20.399999999999999">
      <c r="A1450" s="323"/>
      <c r="B1450" s="63"/>
      <c r="C1450" s="63"/>
      <c r="D1450" s="63"/>
      <c r="E1450" s="326"/>
      <c r="F1450" s="63"/>
    </row>
    <row r="1451" spans="1:6" ht="20.399999999999999">
      <c r="A1451" s="323"/>
      <c r="B1451" s="63"/>
      <c r="C1451" s="63"/>
      <c r="D1451" s="63"/>
      <c r="E1451" s="326"/>
      <c r="F1451" s="63"/>
    </row>
    <row r="1452" spans="1:6" ht="20.399999999999999">
      <c r="A1452" s="323"/>
      <c r="B1452" s="63"/>
      <c r="C1452" s="63"/>
      <c r="D1452" s="63"/>
      <c r="E1452" s="326"/>
      <c r="F1452" s="63"/>
    </row>
    <row r="1453" spans="1:6" ht="20.399999999999999">
      <c r="A1453" s="323"/>
      <c r="B1453" s="63"/>
      <c r="C1453" s="63"/>
      <c r="D1453" s="63"/>
      <c r="E1453" s="326"/>
      <c r="F1453" s="63"/>
    </row>
    <row r="1454" spans="1:6" ht="20.399999999999999">
      <c r="A1454" s="323"/>
      <c r="B1454" s="63"/>
      <c r="C1454" s="63"/>
      <c r="D1454" s="63"/>
      <c r="E1454" s="326"/>
      <c r="F1454" s="63"/>
    </row>
    <row r="1455" spans="1:6" ht="20.399999999999999">
      <c r="A1455" s="323"/>
      <c r="B1455" s="63"/>
      <c r="C1455" s="63"/>
      <c r="D1455" s="63"/>
      <c r="E1455" s="326"/>
      <c r="F1455" s="63"/>
    </row>
    <row r="1456" spans="1:6" ht="20.399999999999999">
      <c r="A1456" s="323"/>
      <c r="B1456" s="63"/>
      <c r="C1456" s="63"/>
      <c r="D1456" s="63"/>
      <c r="E1456" s="326"/>
      <c r="F1456" s="63"/>
    </row>
    <row r="1457" spans="1:6" ht="20.399999999999999">
      <c r="A1457" s="323"/>
      <c r="B1457" s="63"/>
      <c r="C1457" s="63"/>
      <c r="D1457" s="63"/>
      <c r="E1457" s="326"/>
      <c r="F1457" s="63"/>
    </row>
    <row r="1458" spans="1:6" ht="20.399999999999999">
      <c r="A1458" s="323"/>
      <c r="B1458" s="63"/>
      <c r="C1458" s="63"/>
      <c r="D1458" s="63"/>
      <c r="E1458" s="326"/>
      <c r="F1458" s="63"/>
    </row>
    <row r="1459" spans="1:6" ht="20.399999999999999">
      <c r="A1459" s="323"/>
      <c r="B1459" s="63"/>
      <c r="C1459" s="63"/>
      <c r="D1459" s="63"/>
      <c r="E1459" s="326"/>
      <c r="F1459" s="63"/>
    </row>
    <row r="1460" spans="1:6" ht="20.399999999999999">
      <c r="A1460" s="323"/>
      <c r="B1460" s="63"/>
      <c r="C1460" s="63"/>
      <c r="D1460" s="63"/>
      <c r="E1460" s="326"/>
      <c r="F1460" s="63"/>
    </row>
    <row r="1461" spans="1:6" ht="20.399999999999999">
      <c r="A1461" s="323"/>
      <c r="B1461" s="63"/>
      <c r="C1461" s="63"/>
      <c r="D1461" s="63"/>
      <c r="E1461" s="326"/>
      <c r="F1461" s="63"/>
    </row>
    <row r="1462" spans="1:6" ht="20.399999999999999">
      <c r="A1462" s="323"/>
      <c r="B1462" s="63"/>
      <c r="C1462" s="63"/>
      <c r="D1462" s="63"/>
      <c r="E1462" s="326"/>
      <c r="F1462" s="63"/>
    </row>
    <row r="1463" spans="1:6" ht="20.399999999999999">
      <c r="A1463" s="323"/>
      <c r="B1463" s="63"/>
      <c r="C1463" s="63"/>
      <c r="D1463" s="63"/>
      <c r="E1463" s="326"/>
      <c r="F1463" s="63"/>
    </row>
    <row r="1464" spans="1:6" ht="20.399999999999999">
      <c r="A1464" s="323"/>
      <c r="B1464" s="63"/>
      <c r="C1464" s="63"/>
      <c r="D1464" s="63"/>
      <c r="E1464" s="326"/>
      <c r="F1464" s="63"/>
    </row>
    <row r="1465" spans="1:6" ht="20.399999999999999">
      <c r="A1465" s="323"/>
      <c r="B1465" s="63"/>
      <c r="C1465" s="63"/>
      <c r="D1465" s="63"/>
      <c r="E1465" s="326"/>
      <c r="F1465" s="63"/>
    </row>
    <row r="1466" spans="1:6" ht="20.399999999999999">
      <c r="A1466" s="323"/>
      <c r="B1466" s="63"/>
      <c r="C1466" s="63"/>
      <c r="D1466" s="63"/>
      <c r="E1466" s="326"/>
      <c r="F1466" s="63"/>
    </row>
    <row r="1467" spans="1:6" ht="20.399999999999999">
      <c r="A1467" s="323"/>
      <c r="B1467" s="63"/>
      <c r="C1467" s="63"/>
      <c r="D1467" s="63"/>
      <c r="E1467" s="326"/>
      <c r="F1467" s="63"/>
    </row>
    <row r="1468" spans="1:6" ht="20.399999999999999">
      <c r="A1468" s="323"/>
      <c r="B1468" s="63"/>
      <c r="C1468" s="63"/>
      <c r="D1468" s="63"/>
      <c r="E1468" s="326"/>
      <c r="F1468" s="63"/>
    </row>
    <row r="1469" spans="1:6" ht="20.399999999999999">
      <c r="A1469" s="323"/>
      <c r="B1469" s="63"/>
      <c r="C1469" s="63"/>
      <c r="D1469" s="63"/>
      <c r="E1469" s="326"/>
      <c r="F1469" s="63"/>
    </row>
    <row r="1470" spans="1:6" ht="20.399999999999999">
      <c r="A1470" s="323"/>
      <c r="B1470" s="63"/>
      <c r="C1470" s="63"/>
      <c r="D1470" s="63"/>
      <c r="E1470" s="326"/>
      <c r="F1470" s="63"/>
    </row>
    <row r="1471" spans="1:6" ht="20.399999999999999">
      <c r="A1471" s="323"/>
      <c r="B1471" s="63"/>
      <c r="C1471" s="63"/>
      <c r="D1471" s="63"/>
      <c r="E1471" s="326"/>
      <c r="F1471" s="63"/>
    </row>
    <row r="1472" spans="1:6" ht="20.399999999999999">
      <c r="A1472" s="323"/>
      <c r="B1472" s="63"/>
      <c r="C1472" s="63"/>
      <c r="D1472" s="63"/>
      <c r="E1472" s="326"/>
      <c r="F1472" s="63"/>
    </row>
    <row r="1473" spans="1:6" ht="20.399999999999999">
      <c r="A1473" s="323"/>
      <c r="B1473" s="63"/>
      <c r="C1473" s="63"/>
      <c r="D1473" s="63"/>
      <c r="E1473" s="326"/>
      <c r="F1473" s="63"/>
    </row>
    <row r="1474" spans="1:6" ht="20.399999999999999">
      <c r="A1474" s="323"/>
      <c r="B1474" s="63"/>
      <c r="C1474" s="63"/>
      <c r="D1474" s="63"/>
      <c r="E1474" s="326"/>
      <c r="F1474" s="63"/>
    </row>
    <row r="1475" spans="1:6" ht="20.399999999999999">
      <c r="A1475" s="323"/>
      <c r="B1475" s="63"/>
      <c r="C1475" s="63"/>
      <c r="D1475" s="63"/>
      <c r="E1475" s="326"/>
      <c r="F1475" s="63"/>
    </row>
    <row r="1476" spans="1:6" ht="20.399999999999999">
      <c r="A1476" s="323"/>
      <c r="B1476" s="63"/>
      <c r="C1476" s="63"/>
      <c r="D1476" s="63"/>
      <c r="E1476" s="326"/>
      <c r="F1476" s="63"/>
    </row>
    <row r="1477" spans="1:6" ht="20.399999999999999">
      <c r="A1477" s="323"/>
      <c r="B1477" s="63"/>
      <c r="C1477" s="63"/>
      <c r="D1477" s="63"/>
      <c r="E1477" s="326"/>
      <c r="F1477" s="63"/>
    </row>
    <row r="1478" spans="1:6" ht="20.399999999999999">
      <c r="A1478" s="323"/>
      <c r="B1478" s="63"/>
      <c r="C1478" s="63"/>
      <c r="D1478" s="63"/>
      <c r="E1478" s="326"/>
      <c r="F1478" s="63"/>
    </row>
    <row r="1479" spans="1:6" ht="20.399999999999999">
      <c r="A1479" s="323"/>
      <c r="B1479" s="63"/>
      <c r="C1479" s="63"/>
      <c r="D1479" s="63"/>
      <c r="E1479" s="326"/>
      <c r="F1479" s="63"/>
    </row>
    <row r="1480" spans="1:6" ht="20.399999999999999">
      <c r="A1480" s="323"/>
      <c r="B1480" s="63"/>
      <c r="C1480" s="63"/>
      <c r="D1480" s="63"/>
      <c r="E1480" s="326"/>
      <c r="F1480" s="63"/>
    </row>
    <row r="1481" spans="1:6" ht="20.399999999999999">
      <c r="A1481" s="323"/>
      <c r="B1481" s="63"/>
      <c r="C1481" s="63"/>
      <c r="D1481" s="63"/>
      <c r="E1481" s="326"/>
      <c r="F1481" s="63"/>
    </row>
    <row r="1482" spans="1:6" ht="20.399999999999999">
      <c r="A1482" s="323"/>
      <c r="B1482" s="63"/>
      <c r="C1482" s="63"/>
      <c r="D1482" s="63"/>
      <c r="E1482" s="326"/>
      <c r="F1482" s="63"/>
    </row>
    <row r="1483" spans="1:6" ht="20.399999999999999">
      <c r="A1483" s="323"/>
      <c r="B1483" s="63"/>
      <c r="C1483" s="63"/>
      <c r="D1483" s="63"/>
      <c r="E1483" s="326"/>
      <c r="F1483" s="63"/>
    </row>
    <row r="1484" spans="1:6" ht="20.399999999999999">
      <c r="A1484" s="323"/>
      <c r="B1484" s="63"/>
      <c r="C1484" s="63"/>
      <c r="D1484" s="63"/>
      <c r="E1484" s="326"/>
      <c r="F1484" s="63"/>
    </row>
    <row r="1485" spans="1:6" ht="20.399999999999999">
      <c r="A1485" s="323"/>
      <c r="B1485" s="63"/>
      <c r="C1485" s="63"/>
      <c r="D1485" s="63"/>
      <c r="E1485" s="326"/>
      <c r="F1485" s="63"/>
    </row>
    <row r="1486" spans="1:6" ht="20.399999999999999">
      <c r="A1486" s="323"/>
      <c r="B1486" s="63"/>
      <c r="C1486" s="63"/>
      <c r="D1486" s="63"/>
      <c r="E1486" s="326"/>
      <c r="F1486" s="63"/>
    </row>
    <row r="1487" spans="1:6" ht="20.399999999999999">
      <c r="A1487" s="323"/>
      <c r="B1487" s="63"/>
      <c r="C1487" s="63"/>
      <c r="D1487" s="63"/>
      <c r="E1487" s="326"/>
      <c r="F1487" s="63"/>
    </row>
    <row r="1488" spans="1:6" ht="20.399999999999999">
      <c r="A1488" s="323"/>
      <c r="B1488" s="63"/>
      <c r="C1488" s="63"/>
      <c r="D1488" s="63"/>
      <c r="E1488" s="326"/>
      <c r="F1488" s="63"/>
    </row>
    <row r="1489" spans="1:6" ht="20.399999999999999">
      <c r="A1489" s="323"/>
      <c r="B1489" s="63"/>
      <c r="C1489" s="63"/>
      <c r="D1489" s="63"/>
      <c r="E1489" s="326"/>
      <c r="F1489" s="63"/>
    </row>
    <row r="1490" spans="1:6" ht="20.399999999999999">
      <c r="A1490" s="323"/>
      <c r="B1490" s="63"/>
      <c r="C1490" s="63"/>
      <c r="D1490" s="63"/>
      <c r="E1490" s="326"/>
      <c r="F1490" s="63"/>
    </row>
    <row r="1491" spans="1:6" ht="20.399999999999999">
      <c r="A1491" s="323"/>
      <c r="B1491" s="63"/>
      <c r="C1491" s="63"/>
      <c r="D1491" s="63"/>
      <c r="E1491" s="326"/>
      <c r="F1491" s="63"/>
    </row>
    <row r="1492" spans="1:6" ht="20.399999999999999">
      <c r="A1492" s="323"/>
      <c r="B1492" s="63"/>
      <c r="C1492" s="63"/>
      <c r="D1492" s="63"/>
      <c r="E1492" s="326"/>
      <c r="F1492" s="63"/>
    </row>
    <row r="1493" spans="1:6" ht="20.399999999999999">
      <c r="A1493" s="323"/>
      <c r="B1493" s="63"/>
      <c r="C1493" s="63"/>
      <c r="D1493" s="63"/>
      <c r="E1493" s="326"/>
      <c r="F1493" s="63"/>
    </row>
    <row r="1494" spans="1:6" ht="20.399999999999999">
      <c r="A1494" s="323"/>
      <c r="B1494" s="63"/>
      <c r="C1494" s="63"/>
      <c r="D1494" s="63"/>
      <c r="E1494" s="326"/>
      <c r="F1494" s="63"/>
    </row>
    <row r="1495" spans="1:6" ht="20.399999999999999">
      <c r="A1495" s="323"/>
      <c r="B1495" s="63"/>
      <c r="C1495" s="63"/>
      <c r="D1495" s="63"/>
      <c r="E1495" s="326"/>
      <c r="F1495" s="63"/>
    </row>
    <row r="1496" spans="1:6" ht="20.399999999999999">
      <c r="A1496" s="323"/>
      <c r="B1496" s="63"/>
      <c r="C1496" s="63"/>
      <c r="D1496" s="63"/>
      <c r="E1496" s="326"/>
      <c r="F1496" s="63"/>
    </row>
    <row r="1497" spans="1:6" ht="20.399999999999999">
      <c r="A1497" s="323"/>
      <c r="B1497" s="63"/>
      <c r="C1497" s="63"/>
      <c r="D1497" s="63"/>
      <c r="E1497" s="326"/>
      <c r="F1497" s="63"/>
    </row>
    <row r="1498" spans="1:6" ht="20.399999999999999">
      <c r="A1498" s="323"/>
      <c r="B1498" s="63"/>
      <c r="C1498" s="63"/>
      <c r="D1498" s="63"/>
      <c r="E1498" s="326"/>
      <c r="F1498" s="63"/>
    </row>
    <row r="1499" spans="1:6" ht="20.399999999999999">
      <c r="A1499" s="323"/>
      <c r="B1499" s="63"/>
      <c r="C1499" s="63"/>
      <c r="D1499" s="63"/>
      <c r="E1499" s="326"/>
      <c r="F1499" s="63"/>
    </row>
    <row r="1500" spans="1:6" ht="20.399999999999999">
      <c r="A1500" s="323"/>
      <c r="B1500" s="63"/>
      <c r="C1500" s="63"/>
      <c r="D1500" s="63"/>
      <c r="E1500" s="326"/>
      <c r="F1500" s="63"/>
    </row>
    <row r="1501" spans="1:6" ht="20.399999999999999">
      <c r="A1501" s="323"/>
      <c r="B1501" s="63"/>
      <c r="C1501" s="63"/>
      <c r="D1501" s="63"/>
      <c r="E1501" s="326"/>
      <c r="F1501" s="63"/>
    </row>
    <row r="1502" spans="1:6" ht="20.399999999999999">
      <c r="A1502" s="323"/>
      <c r="B1502" s="63"/>
      <c r="C1502" s="63"/>
      <c r="D1502" s="63"/>
      <c r="E1502" s="326"/>
      <c r="F1502" s="63"/>
    </row>
    <row r="1503" spans="1:6" ht="20.399999999999999">
      <c r="A1503" s="323"/>
      <c r="B1503" s="63"/>
      <c r="C1503" s="63"/>
      <c r="D1503" s="63"/>
      <c r="E1503" s="326"/>
      <c r="F1503" s="63"/>
    </row>
    <row r="1504" spans="1:6" ht="20.399999999999999">
      <c r="A1504" s="323"/>
      <c r="B1504" s="63"/>
      <c r="C1504" s="63"/>
      <c r="D1504" s="63"/>
      <c r="E1504" s="326"/>
      <c r="F1504" s="63"/>
    </row>
    <row r="1505" spans="1:6" ht="20.399999999999999">
      <c r="A1505" s="323"/>
      <c r="B1505" s="63"/>
      <c r="C1505" s="63"/>
      <c r="D1505" s="63"/>
      <c r="E1505" s="326"/>
      <c r="F1505" s="63"/>
    </row>
    <row r="1506" spans="1:6" ht="20.399999999999999">
      <c r="A1506" s="323"/>
      <c r="B1506" s="63"/>
      <c r="C1506" s="63"/>
      <c r="D1506" s="63"/>
      <c r="E1506" s="326"/>
      <c r="F1506" s="63"/>
    </row>
    <row r="1507" spans="1:6" ht="20.399999999999999">
      <c r="A1507" s="323"/>
      <c r="B1507" s="63"/>
      <c r="C1507" s="63"/>
      <c r="D1507" s="63"/>
      <c r="E1507" s="326"/>
      <c r="F1507" s="63"/>
    </row>
    <row r="1508" spans="1:6" ht="20.399999999999999">
      <c r="A1508" s="323"/>
      <c r="B1508" s="63"/>
      <c r="C1508" s="63"/>
      <c r="D1508" s="63"/>
      <c r="E1508" s="326"/>
      <c r="F1508" s="63"/>
    </row>
    <row r="1509" spans="1:6" ht="20.399999999999999">
      <c r="A1509" s="323"/>
      <c r="B1509" s="63"/>
      <c r="C1509" s="63"/>
      <c r="D1509" s="63"/>
      <c r="E1509" s="326"/>
      <c r="F1509" s="63"/>
    </row>
    <row r="1510" spans="1:6" ht="20.399999999999999">
      <c r="A1510" s="323"/>
      <c r="B1510" s="63"/>
      <c r="C1510" s="63"/>
      <c r="D1510" s="63"/>
      <c r="E1510" s="326"/>
      <c r="F1510" s="63"/>
    </row>
    <row r="1511" spans="1:6" ht="20.399999999999999">
      <c r="A1511" s="323"/>
      <c r="B1511" s="63"/>
      <c r="C1511" s="63"/>
      <c r="D1511" s="63"/>
      <c r="E1511" s="326"/>
      <c r="F1511" s="63"/>
    </row>
    <row r="1512" spans="1:6" ht="20.399999999999999">
      <c r="A1512" s="323"/>
      <c r="B1512" s="63"/>
      <c r="C1512" s="63"/>
      <c r="D1512" s="63"/>
      <c r="E1512" s="326"/>
      <c r="F1512" s="63"/>
    </row>
    <row r="1513" spans="1:6" ht="20.399999999999999">
      <c r="A1513" s="323"/>
      <c r="B1513" s="63"/>
      <c r="C1513" s="63"/>
      <c r="D1513" s="63"/>
      <c r="E1513" s="326"/>
      <c r="F1513" s="63"/>
    </row>
    <row r="1514" spans="1:6" ht="20.399999999999999">
      <c r="A1514" s="323"/>
      <c r="B1514" s="63"/>
      <c r="C1514" s="63"/>
      <c r="D1514" s="63"/>
      <c r="E1514" s="326"/>
      <c r="F1514" s="63"/>
    </row>
    <row r="1515" spans="1:6" ht="20.399999999999999">
      <c r="A1515" s="323"/>
      <c r="B1515" s="63"/>
      <c r="C1515" s="63"/>
      <c r="D1515" s="63"/>
      <c r="E1515" s="326"/>
      <c r="F1515" s="63"/>
    </row>
    <row r="1516" spans="1:6" ht="20.399999999999999">
      <c r="A1516" s="323"/>
      <c r="B1516" s="63"/>
      <c r="C1516" s="63"/>
      <c r="D1516" s="63"/>
      <c r="E1516" s="326"/>
      <c r="F1516" s="63"/>
    </row>
    <row r="1517" spans="1:6" ht="20.399999999999999">
      <c r="A1517" s="323"/>
      <c r="B1517" s="63"/>
      <c r="C1517" s="63"/>
      <c r="D1517" s="63"/>
      <c r="E1517" s="326"/>
      <c r="F1517" s="63"/>
    </row>
    <row r="1518" spans="1:6" ht="20.399999999999999">
      <c r="A1518" s="323"/>
      <c r="B1518" s="63"/>
      <c r="C1518" s="63"/>
      <c r="D1518" s="63"/>
      <c r="E1518" s="326"/>
      <c r="F1518" s="63"/>
    </row>
    <row r="1519" spans="1:6" ht="20.399999999999999">
      <c r="A1519" s="323"/>
      <c r="B1519" s="63"/>
      <c r="C1519" s="63"/>
      <c r="D1519" s="63"/>
      <c r="E1519" s="326"/>
      <c r="F1519" s="63"/>
    </row>
    <row r="1520" spans="1:6" ht="20.399999999999999">
      <c r="A1520" s="323"/>
      <c r="B1520" s="63"/>
      <c r="C1520" s="63"/>
      <c r="D1520" s="63"/>
      <c r="E1520" s="326"/>
      <c r="F1520" s="63"/>
    </row>
    <row r="1521" spans="1:6" ht="20.399999999999999">
      <c r="A1521" s="323"/>
      <c r="B1521" s="63"/>
      <c r="C1521" s="63"/>
      <c r="D1521" s="63"/>
      <c r="E1521" s="326"/>
      <c r="F1521" s="63"/>
    </row>
    <row r="1522" spans="1:6" ht="20.399999999999999">
      <c r="A1522" s="323"/>
      <c r="B1522" s="63"/>
      <c r="C1522" s="63"/>
      <c r="D1522" s="63"/>
      <c r="E1522" s="326"/>
      <c r="F1522" s="63"/>
    </row>
    <row r="1523" spans="1:6" ht="20.399999999999999">
      <c r="A1523" s="323"/>
      <c r="B1523" s="63"/>
      <c r="C1523" s="63"/>
      <c r="D1523" s="63"/>
      <c r="E1523" s="326"/>
      <c r="F1523" s="63"/>
    </row>
    <row r="1524" spans="1:6" ht="20.399999999999999">
      <c r="A1524" s="323"/>
      <c r="B1524" s="63"/>
      <c r="C1524" s="63"/>
      <c r="D1524" s="63"/>
      <c r="E1524" s="326"/>
      <c r="F1524" s="63"/>
    </row>
    <row r="1525" spans="1:6" ht="20.399999999999999">
      <c r="A1525" s="323"/>
      <c r="B1525" s="63"/>
      <c r="C1525" s="63"/>
      <c r="D1525" s="63"/>
      <c r="E1525" s="326"/>
      <c r="F1525" s="63"/>
    </row>
    <row r="1526" spans="1:6" ht="20.399999999999999">
      <c r="A1526" s="323"/>
      <c r="B1526" s="63"/>
      <c r="C1526" s="63"/>
      <c r="D1526" s="63"/>
      <c r="E1526" s="326"/>
      <c r="F1526" s="63"/>
    </row>
    <row r="1527" spans="1:6" ht="20.399999999999999">
      <c r="A1527" s="323"/>
      <c r="B1527" s="63"/>
      <c r="C1527" s="63"/>
      <c r="D1527" s="63"/>
      <c r="E1527" s="326"/>
      <c r="F1527" s="63"/>
    </row>
    <row r="1528" spans="1:6" ht="20.399999999999999">
      <c r="A1528" s="323"/>
      <c r="B1528" s="63"/>
      <c r="C1528" s="63"/>
      <c r="D1528" s="63"/>
      <c r="E1528" s="326"/>
      <c r="F1528" s="63"/>
    </row>
    <row r="1529" spans="1:6" ht="20.399999999999999">
      <c r="A1529" s="323"/>
      <c r="B1529" s="63"/>
      <c r="C1529" s="63"/>
      <c r="D1529" s="63"/>
      <c r="E1529" s="326"/>
      <c r="F1529" s="63"/>
    </row>
    <row r="1530" spans="1:6" ht="20.399999999999999">
      <c r="A1530" s="323"/>
      <c r="B1530" s="63"/>
      <c r="C1530" s="63"/>
      <c r="D1530" s="63"/>
      <c r="E1530" s="326"/>
      <c r="F1530" s="63"/>
    </row>
    <row r="1531" spans="1:6" ht="20.399999999999999">
      <c r="A1531" s="323"/>
      <c r="B1531" s="63"/>
      <c r="C1531" s="63"/>
      <c r="D1531" s="63"/>
      <c r="E1531" s="326"/>
      <c r="F1531" s="63"/>
    </row>
    <row r="1532" spans="1:6" ht="20.399999999999999">
      <c r="A1532" s="323"/>
      <c r="B1532" s="63"/>
      <c r="C1532" s="63"/>
      <c r="D1532" s="63"/>
      <c r="E1532" s="326"/>
      <c r="F1532" s="63"/>
    </row>
    <row r="1533" spans="1:6" ht="20.399999999999999">
      <c r="A1533" s="323"/>
      <c r="B1533" s="63"/>
      <c r="C1533" s="63"/>
      <c r="D1533" s="63"/>
      <c r="E1533" s="326"/>
      <c r="F1533" s="63"/>
    </row>
    <row r="1534" spans="1:6" ht="20.399999999999999">
      <c r="A1534" s="323"/>
      <c r="B1534" s="63"/>
      <c r="C1534" s="63"/>
      <c r="D1534" s="63"/>
      <c r="E1534" s="326"/>
      <c r="F1534" s="63"/>
    </row>
    <row r="1535" spans="1:6" ht="20.399999999999999">
      <c r="A1535" s="323"/>
      <c r="B1535" s="63"/>
      <c r="C1535" s="63"/>
      <c r="D1535" s="63"/>
      <c r="E1535" s="326"/>
      <c r="F1535" s="63"/>
    </row>
    <row r="1536" spans="1:6" ht="20.399999999999999">
      <c r="A1536" s="323"/>
      <c r="B1536" s="63"/>
      <c r="C1536" s="63"/>
      <c r="D1536" s="63"/>
      <c r="E1536" s="326"/>
      <c r="F1536" s="63"/>
    </row>
    <row r="1537" spans="1:6" ht="20.399999999999999">
      <c r="A1537" s="323"/>
      <c r="B1537" s="63"/>
      <c r="C1537" s="63"/>
      <c r="D1537" s="63"/>
      <c r="E1537" s="326"/>
      <c r="F1537" s="63"/>
    </row>
    <row r="1538" spans="1:6" ht="20.399999999999999">
      <c r="A1538" s="323"/>
      <c r="B1538" s="63"/>
      <c r="C1538" s="63"/>
      <c r="D1538" s="63"/>
      <c r="E1538" s="326"/>
      <c r="F1538" s="63"/>
    </row>
    <row r="1539" spans="1:6" ht="20.399999999999999">
      <c r="A1539" s="323"/>
      <c r="B1539" s="63"/>
      <c r="C1539" s="63"/>
      <c r="D1539" s="63"/>
      <c r="E1539" s="326"/>
      <c r="F1539" s="63"/>
    </row>
    <row r="1540" spans="1:6" ht="20.399999999999999">
      <c r="A1540" s="323"/>
      <c r="B1540" s="63"/>
      <c r="C1540" s="63"/>
      <c r="D1540" s="63"/>
      <c r="E1540" s="326"/>
      <c r="F1540" s="63"/>
    </row>
    <row r="1541" spans="1:6" ht="20.399999999999999">
      <c r="A1541" s="323"/>
      <c r="B1541" s="63"/>
      <c r="C1541" s="63"/>
      <c r="D1541" s="63"/>
      <c r="E1541" s="326"/>
      <c r="F1541" s="63"/>
    </row>
    <row r="1542" spans="1:6" ht="20.399999999999999">
      <c r="A1542" s="323"/>
      <c r="B1542" s="63"/>
      <c r="C1542" s="63"/>
      <c r="D1542" s="63"/>
      <c r="E1542" s="326"/>
      <c r="F1542" s="63"/>
    </row>
    <row r="1543" spans="1:6" ht="20.399999999999999">
      <c r="A1543" s="323"/>
      <c r="B1543" s="63"/>
      <c r="C1543" s="63"/>
      <c r="D1543" s="63"/>
      <c r="E1543" s="326"/>
      <c r="F1543" s="63"/>
    </row>
    <row r="1544" spans="1:6" ht="20.399999999999999">
      <c r="A1544" s="323"/>
      <c r="B1544" s="63"/>
      <c r="C1544" s="63"/>
      <c r="D1544" s="63"/>
      <c r="E1544" s="326"/>
      <c r="F1544" s="63"/>
    </row>
    <row r="1545" spans="1:6" ht="20.399999999999999">
      <c r="A1545" s="323"/>
      <c r="B1545" s="63"/>
      <c r="C1545" s="63"/>
      <c r="D1545" s="63"/>
      <c r="E1545" s="326"/>
      <c r="F1545" s="63"/>
    </row>
    <row r="1546" spans="1:6" ht="20.399999999999999">
      <c r="A1546" s="323"/>
      <c r="B1546" s="63"/>
      <c r="C1546" s="63"/>
      <c r="D1546" s="63"/>
      <c r="E1546" s="326"/>
      <c r="F1546" s="63"/>
    </row>
    <row r="1547" spans="1:6" ht="20.399999999999999">
      <c r="A1547" s="323"/>
      <c r="B1547" s="63"/>
      <c r="C1547" s="63"/>
      <c r="D1547" s="63"/>
      <c r="E1547" s="326"/>
      <c r="F1547" s="63"/>
    </row>
    <row r="1548" spans="1:6" ht="20.399999999999999">
      <c r="A1548" s="323"/>
      <c r="B1548" s="63"/>
      <c r="C1548" s="63"/>
      <c r="D1548" s="63"/>
      <c r="E1548" s="326"/>
      <c r="F1548" s="63"/>
    </row>
    <row r="1549" spans="1:6" ht="20.399999999999999">
      <c r="A1549" s="323"/>
      <c r="B1549" s="63"/>
      <c r="C1549" s="63"/>
      <c r="D1549" s="63"/>
      <c r="E1549" s="326"/>
      <c r="F1549" s="63"/>
    </row>
    <row r="1550" spans="1:6" ht="20.399999999999999">
      <c r="A1550" s="323"/>
      <c r="B1550" s="63"/>
      <c r="C1550" s="63"/>
      <c r="D1550" s="63"/>
      <c r="E1550" s="326"/>
      <c r="F1550" s="63"/>
    </row>
    <row r="1551" spans="1:6" ht="20.399999999999999">
      <c r="A1551" s="323"/>
      <c r="B1551" s="63"/>
      <c r="C1551" s="63"/>
      <c r="D1551" s="63"/>
      <c r="E1551" s="326"/>
      <c r="F1551" s="63"/>
    </row>
    <row r="1552" spans="1:6" ht="20.399999999999999">
      <c r="A1552" s="323"/>
      <c r="B1552" s="63"/>
      <c r="C1552" s="63"/>
      <c r="D1552" s="63"/>
      <c r="E1552" s="326"/>
      <c r="F1552" s="63"/>
    </row>
    <row r="1553" spans="1:6" ht="20.399999999999999">
      <c r="A1553" s="323"/>
      <c r="B1553" s="63"/>
      <c r="C1553" s="63"/>
      <c r="D1553" s="63"/>
      <c r="E1553" s="326"/>
      <c r="F1553" s="63"/>
    </row>
    <row r="1554" spans="1:6" ht="20.399999999999999">
      <c r="A1554" s="323"/>
      <c r="B1554" s="63"/>
      <c r="C1554" s="63"/>
      <c r="D1554" s="63"/>
      <c r="E1554" s="326"/>
      <c r="F1554" s="63"/>
    </row>
    <row r="1555" spans="1:6" ht="20.399999999999999">
      <c r="A1555" s="323"/>
      <c r="B1555" s="63"/>
      <c r="C1555" s="63"/>
      <c r="D1555" s="63"/>
      <c r="E1555" s="326"/>
      <c r="F1555" s="63"/>
    </row>
    <row r="1556" spans="1:6" ht="20.399999999999999">
      <c r="A1556" s="323"/>
      <c r="B1556" s="63"/>
      <c r="C1556" s="63"/>
      <c r="D1556" s="63"/>
      <c r="E1556" s="326"/>
      <c r="F1556" s="63"/>
    </row>
    <row r="1557" spans="1:6" ht="20.399999999999999">
      <c r="A1557" s="323"/>
      <c r="B1557" s="63"/>
      <c r="C1557" s="63"/>
      <c r="D1557" s="63"/>
      <c r="E1557" s="326"/>
      <c r="F1557" s="63"/>
    </row>
    <row r="1558" spans="1:6" ht="20.399999999999999">
      <c r="A1558" s="323"/>
      <c r="B1558" s="63"/>
      <c r="C1558" s="63"/>
      <c r="D1558" s="63"/>
      <c r="E1558" s="326"/>
      <c r="F1558" s="63"/>
    </row>
    <row r="1559" spans="1:6" ht="20.399999999999999">
      <c r="A1559" s="323"/>
      <c r="B1559" s="63"/>
      <c r="C1559" s="63"/>
      <c r="D1559" s="63"/>
      <c r="E1559" s="326"/>
      <c r="F1559" s="63"/>
    </row>
    <row r="1560" spans="1:6" ht="20.399999999999999">
      <c r="A1560" s="323"/>
      <c r="B1560" s="63"/>
      <c r="C1560" s="63"/>
      <c r="D1560" s="63"/>
      <c r="E1560" s="326"/>
      <c r="F1560" s="63"/>
    </row>
    <row r="1561" spans="1:6" ht="20.399999999999999">
      <c r="A1561" s="323"/>
      <c r="B1561" s="63"/>
      <c r="C1561" s="63"/>
      <c r="D1561" s="63"/>
      <c r="E1561" s="326"/>
      <c r="F1561" s="63"/>
    </row>
    <row r="1562" spans="1:6" ht="20.399999999999999">
      <c r="A1562" s="323"/>
      <c r="B1562" s="63"/>
      <c r="C1562" s="63"/>
      <c r="D1562" s="63"/>
      <c r="E1562" s="326"/>
      <c r="F1562" s="63"/>
    </row>
    <row r="1563" spans="1:6" ht="20.399999999999999">
      <c r="A1563" s="323"/>
      <c r="B1563" s="63"/>
      <c r="C1563" s="63"/>
      <c r="D1563" s="63"/>
      <c r="E1563" s="326"/>
      <c r="F1563" s="63"/>
    </row>
    <row r="1564" spans="1:6" ht="20.399999999999999">
      <c r="A1564" s="323"/>
      <c r="B1564" s="63"/>
      <c r="C1564" s="63"/>
      <c r="D1564" s="63"/>
      <c r="E1564" s="326"/>
      <c r="F1564" s="63"/>
    </row>
    <row r="1565" spans="1:6" ht="20.399999999999999">
      <c r="A1565" s="323"/>
      <c r="B1565" s="63"/>
      <c r="C1565" s="63"/>
      <c r="D1565" s="63"/>
      <c r="E1565" s="326"/>
      <c r="F1565" s="63"/>
    </row>
    <row r="1566" spans="1:6" ht="20.399999999999999">
      <c r="A1566" s="323"/>
      <c r="B1566" s="63"/>
      <c r="C1566" s="63"/>
      <c r="D1566" s="63"/>
      <c r="E1566" s="326"/>
      <c r="F1566" s="63"/>
    </row>
    <row r="1567" spans="1:6" ht="20.399999999999999">
      <c r="A1567" s="323"/>
      <c r="B1567" s="63"/>
      <c r="C1567" s="63"/>
      <c r="D1567" s="63"/>
      <c r="E1567" s="326"/>
      <c r="F1567" s="63"/>
    </row>
    <row r="1568" spans="1:6" ht="20.399999999999999">
      <c r="A1568" s="323"/>
      <c r="B1568" s="63"/>
      <c r="C1568" s="63"/>
      <c r="D1568" s="63"/>
      <c r="E1568" s="326"/>
      <c r="F1568" s="63"/>
    </row>
    <row r="1569" spans="1:6" ht="20.399999999999999">
      <c r="A1569" s="323"/>
      <c r="B1569" s="63"/>
      <c r="C1569" s="63"/>
      <c r="D1569" s="63"/>
      <c r="E1569" s="326"/>
      <c r="F1569" s="63"/>
    </row>
    <row r="1570" spans="1:6" ht="20.399999999999999">
      <c r="A1570" s="323"/>
      <c r="B1570" s="63"/>
      <c r="C1570" s="63"/>
      <c r="D1570" s="63"/>
      <c r="E1570" s="326"/>
      <c r="F1570" s="63"/>
    </row>
    <row r="1571" spans="1:6" ht="20.399999999999999">
      <c r="A1571" s="323"/>
      <c r="B1571" s="63"/>
      <c r="C1571" s="63"/>
      <c r="D1571" s="63"/>
      <c r="E1571" s="326"/>
      <c r="F1571" s="63"/>
    </row>
    <row r="1572" spans="1:6" ht="20.399999999999999">
      <c r="A1572" s="323"/>
      <c r="B1572" s="63"/>
      <c r="C1572" s="63"/>
      <c r="D1572" s="63"/>
      <c r="E1572" s="326"/>
      <c r="F1572" s="63"/>
    </row>
    <row r="1573" spans="1:6" ht="20.399999999999999">
      <c r="A1573" s="323"/>
      <c r="B1573" s="63"/>
      <c r="C1573" s="63"/>
      <c r="D1573" s="63"/>
      <c r="E1573" s="326"/>
      <c r="F1573" s="63"/>
    </row>
    <row r="1574" spans="1:6" ht="20.399999999999999">
      <c r="A1574" s="323"/>
      <c r="B1574" s="63"/>
      <c r="C1574" s="63"/>
      <c r="D1574" s="63"/>
      <c r="E1574" s="326"/>
      <c r="F1574" s="63"/>
    </row>
    <row r="1575" spans="1:6" ht="20.399999999999999">
      <c r="A1575" s="323"/>
      <c r="B1575" s="63"/>
      <c r="C1575" s="63"/>
      <c r="D1575" s="63"/>
      <c r="E1575" s="326"/>
      <c r="F1575" s="63"/>
    </row>
    <row r="1576" spans="1:6" ht="20.399999999999999">
      <c r="A1576" s="323"/>
      <c r="B1576" s="63"/>
      <c r="C1576" s="63"/>
      <c r="D1576" s="63"/>
      <c r="E1576" s="326"/>
      <c r="F1576" s="63"/>
    </row>
    <row r="1577" spans="1:6" ht="20.399999999999999">
      <c r="A1577" s="323"/>
      <c r="B1577" s="63"/>
      <c r="C1577" s="63"/>
      <c r="D1577" s="63"/>
      <c r="E1577" s="326"/>
      <c r="F1577" s="63"/>
    </row>
    <row r="1578" spans="1:6" ht="20.399999999999999">
      <c r="A1578" s="323"/>
      <c r="B1578" s="63"/>
      <c r="C1578" s="63"/>
      <c r="D1578" s="63"/>
      <c r="E1578" s="326"/>
      <c r="F1578" s="63"/>
    </row>
    <row r="1579" spans="1:6" ht="20.399999999999999">
      <c r="A1579" s="323"/>
      <c r="B1579" s="63"/>
      <c r="C1579" s="63"/>
      <c r="D1579" s="63"/>
      <c r="E1579" s="326"/>
      <c r="F1579" s="63"/>
    </row>
    <row r="1580" spans="1:6" ht="20.399999999999999">
      <c r="A1580" s="323"/>
      <c r="B1580" s="63"/>
      <c r="C1580" s="63"/>
      <c r="D1580" s="63"/>
      <c r="E1580" s="326"/>
      <c r="F1580" s="63"/>
    </row>
    <row r="1581" spans="1:6" ht="20.399999999999999">
      <c r="A1581" s="323"/>
      <c r="B1581" s="63"/>
      <c r="C1581" s="63"/>
      <c r="D1581" s="63"/>
      <c r="E1581" s="326"/>
      <c r="F1581" s="63"/>
    </row>
    <row r="1582" spans="1:6" ht="20.399999999999999">
      <c r="A1582" s="323"/>
      <c r="B1582" s="63"/>
      <c r="C1582" s="63"/>
      <c r="D1582" s="63"/>
      <c r="E1582" s="326"/>
      <c r="F1582" s="63"/>
    </row>
    <row r="1583" spans="1:6" ht="20.399999999999999">
      <c r="A1583" s="323"/>
      <c r="B1583" s="63"/>
      <c r="C1583" s="63"/>
      <c r="D1583" s="63"/>
      <c r="E1583" s="326"/>
      <c r="F1583" s="63"/>
    </row>
    <row r="1584" spans="1:6" ht="20.399999999999999">
      <c r="A1584" s="323"/>
      <c r="B1584" s="63"/>
      <c r="C1584" s="63"/>
      <c r="D1584" s="63"/>
      <c r="E1584" s="326"/>
      <c r="F1584" s="63"/>
    </row>
    <row r="1585" spans="1:6" ht="20.399999999999999">
      <c r="A1585" s="323"/>
      <c r="B1585" s="63"/>
      <c r="C1585" s="63"/>
      <c r="D1585" s="63"/>
      <c r="E1585" s="326"/>
      <c r="F1585" s="63"/>
    </row>
    <row r="1586" spans="1:6" ht="20.399999999999999">
      <c r="A1586" s="323"/>
      <c r="B1586" s="63"/>
      <c r="C1586" s="63"/>
      <c r="D1586" s="63"/>
      <c r="E1586" s="326"/>
      <c r="F1586" s="63"/>
    </row>
    <row r="1587" spans="1:6" ht="20.399999999999999">
      <c r="A1587" s="323"/>
      <c r="B1587" s="63"/>
      <c r="C1587" s="63"/>
      <c r="D1587" s="63"/>
      <c r="E1587" s="326"/>
      <c r="F1587" s="63"/>
    </row>
    <row r="1588" spans="1:6" ht="20.399999999999999">
      <c r="A1588" s="323"/>
      <c r="B1588" s="63"/>
      <c r="C1588" s="63"/>
      <c r="D1588" s="63"/>
      <c r="E1588" s="326"/>
      <c r="F1588" s="63"/>
    </row>
    <row r="1589" spans="1:6" ht="20.399999999999999">
      <c r="A1589" s="323"/>
      <c r="B1589" s="63"/>
      <c r="C1589" s="63"/>
      <c r="D1589" s="63"/>
      <c r="E1589" s="326"/>
      <c r="F1589" s="63"/>
    </row>
    <row r="1590" spans="1:6" ht="20.399999999999999">
      <c r="A1590" s="323"/>
      <c r="B1590" s="63"/>
      <c r="C1590" s="63"/>
      <c r="D1590" s="63"/>
      <c r="E1590" s="326"/>
      <c r="F1590" s="63"/>
    </row>
    <row r="1591" spans="1:6" ht="20.399999999999999">
      <c r="A1591" s="323"/>
      <c r="B1591" s="63"/>
      <c r="C1591" s="63"/>
      <c r="D1591" s="63"/>
      <c r="E1591" s="326"/>
      <c r="F1591" s="63"/>
    </row>
    <row r="1592" spans="1:6" ht="20.399999999999999">
      <c r="A1592" s="323"/>
      <c r="B1592" s="63"/>
      <c r="C1592" s="63"/>
      <c r="D1592" s="63"/>
      <c r="E1592" s="326"/>
      <c r="F1592" s="63"/>
    </row>
    <row r="1593" spans="1:6" ht="20.399999999999999">
      <c r="A1593" s="323"/>
      <c r="B1593" s="63"/>
      <c r="C1593" s="63"/>
      <c r="D1593" s="63"/>
      <c r="E1593" s="326"/>
      <c r="F1593" s="63"/>
    </row>
    <row r="1594" spans="1:6" ht="20.399999999999999">
      <c r="A1594" s="323"/>
      <c r="B1594" s="63"/>
      <c r="C1594" s="63"/>
      <c r="D1594" s="63"/>
      <c r="E1594" s="326"/>
      <c r="F1594" s="63"/>
    </row>
    <row r="1595" spans="1:6" ht="20.399999999999999">
      <c r="A1595" s="323"/>
      <c r="B1595" s="63"/>
      <c r="C1595" s="63"/>
      <c r="D1595" s="63"/>
      <c r="E1595" s="326"/>
      <c r="F1595" s="63"/>
    </row>
    <row r="1596" spans="1:6" ht="20.399999999999999">
      <c r="A1596" s="323"/>
      <c r="B1596" s="63"/>
      <c r="C1596" s="63"/>
      <c r="D1596" s="63"/>
      <c r="E1596" s="326"/>
      <c r="F1596" s="63"/>
    </row>
    <row r="1597" spans="1:6" ht="20.399999999999999">
      <c r="A1597" s="323"/>
      <c r="B1597" s="63"/>
      <c r="C1597" s="63"/>
      <c r="D1597" s="63"/>
      <c r="E1597" s="326"/>
      <c r="F1597" s="63"/>
    </row>
    <row r="1598" spans="1:6" ht="20.399999999999999">
      <c r="A1598" s="323"/>
      <c r="B1598" s="63"/>
      <c r="C1598" s="63"/>
      <c r="D1598" s="63"/>
      <c r="E1598" s="326"/>
      <c r="F1598" s="63"/>
    </row>
    <row r="1599" spans="1:6" ht="20.399999999999999">
      <c r="A1599" s="323"/>
      <c r="B1599" s="63"/>
      <c r="C1599" s="63"/>
      <c r="D1599" s="63"/>
      <c r="E1599" s="326"/>
      <c r="F1599" s="63"/>
    </row>
    <row r="1600" spans="1:6" ht="20.399999999999999">
      <c r="A1600" s="323"/>
      <c r="B1600" s="63"/>
      <c r="C1600" s="63"/>
      <c r="D1600" s="63"/>
      <c r="E1600" s="326"/>
      <c r="F1600" s="63"/>
    </row>
    <row r="1601" spans="1:6" ht="20.399999999999999">
      <c r="A1601" s="323"/>
      <c r="B1601" s="63"/>
      <c r="C1601" s="63"/>
      <c r="D1601" s="63"/>
      <c r="E1601" s="326"/>
      <c r="F1601" s="63"/>
    </row>
    <row r="1602" spans="1:6" ht="20.399999999999999">
      <c r="A1602" s="323"/>
      <c r="B1602" s="63"/>
      <c r="C1602" s="63"/>
      <c r="D1602" s="63"/>
      <c r="E1602" s="326"/>
      <c r="F1602" s="63"/>
    </row>
    <row r="1603" spans="1:6" ht="20.399999999999999">
      <c r="A1603" s="323"/>
      <c r="B1603" s="63"/>
      <c r="C1603" s="63"/>
      <c r="D1603" s="63"/>
      <c r="E1603" s="326"/>
      <c r="F1603" s="63"/>
    </row>
    <row r="1604" spans="1:6" ht="20.399999999999999">
      <c r="A1604" s="323"/>
      <c r="B1604" s="63"/>
      <c r="C1604" s="63"/>
      <c r="D1604" s="63"/>
      <c r="E1604" s="326"/>
      <c r="F1604" s="63"/>
    </row>
    <row r="1605" spans="1:6" ht="20.399999999999999">
      <c r="A1605" s="323"/>
      <c r="B1605" s="63"/>
      <c r="C1605" s="63"/>
      <c r="D1605" s="63"/>
      <c r="E1605" s="326"/>
      <c r="F1605" s="63"/>
    </row>
    <row r="1606" spans="1:6" ht="20.399999999999999">
      <c r="A1606" s="323"/>
      <c r="B1606" s="63"/>
      <c r="C1606" s="63"/>
      <c r="D1606" s="63"/>
      <c r="E1606" s="326"/>
      <c r="F1606" s="63"/>
    </row>
    <row r="1607" spans="1:6" ht="20.399999999999999">
      <c r="A1607" s="323"/>
      <c r="B1607" s="63"/>
      <c r="C1607" s="63"/>
      <c r="D1607" s="63"/>
      <c r="E1607" s="326"/>
      <c r="F1607" s="63"/>
    </row>
    <row r="1608" spans="1:6" ht="20.399999999999999">
      <c r="A1608" s="323"/>
      <c r="B1608" s="63"/>
      <c r="C1608" s="63"/>
      <c r="D1608" s="63"/>
      <c r="E1608" s="326"/>
      <c r="F1608" s="63"/>
    </row>
    <row r="1609" spans="1:6" ht="20.399999999999999">
      <c r="A1609" s="323"/>
      <c r="B1609" s="63"/>
      <c r="C1609" s="63"/>
      <c r="D1609" s="63"/>
      <c r="E1609" s="326"/>
      <c r="F1609" s="63"/>
    </row>
    <row r="1610" spans="1:6" ht="20.399999999999999">
      <c r="A1610" s="323"/>
      <c r="B1610" s="63"/>
      <c r="C1610" s="63"/>
      <c r="D1610" s="63"/>
      <c r="E1610" s="326"/>
      <c r="F1610" s="63"/>
    </row>
    <row r="1611" spans="1:6" ht="20.399999999999999">
      <c r="A1611" s="323"/>
      <c r="B1611" s="63"/>
      <c r="C1611" s="63"/>
      <c r="D1611" s="63"/>
      <c r="E1611" s="326"/>
      <c r="F1611" s="63"/>
    </row>
    <row r="1612" spans="1:6" ht="20.399999999999999">
      <c r="A1612" s="323"/>
      <c r="B1612" s="63"/>
      <c r="C1612" s="63"/>
      <c r="D1612" s="63"/>
      <c r="E1612" s="326"/>
      <c r="F1612" s="63"/>
    </row>
    <row r="1613" spans="1:6" ht="20.399999999999999">
      <c r="A1613" s="323"/>
      <c r="B1613" s="63"/>
      <c r="C1613" s="63"/>
      <c r="D1613" s="63"/>
      <c r="E1613" s="326"/>
      <c r="F1613" s="63"/>
    </row>
    <row r="1614" spans="1:6" ht="20.399999999999999">
      <c r="A1614" s="323"/>
      <c r="B1614" s="63"/>
      <c r="C1614" s="63"/>
      <c r="D1614" s="63"/>
      <c r="E1614" s="326"/>
      <c r="F1614" s="63"/>
    </row>
    <row r="1615" spans="1:6" ht="20.399999999999999">
      <c r="A1615" s="323"/>
      <c r="B1615" s="63"/>
      <c r="C1615" s="63"/>
      <c r="D1615" s="63"/>
      <c r="E1615" s="326"/>
      <c r="F1615" s="63"/>
    </row>
    <row r="1616" spans="1:6" ht="20.399999999999999">
      <c r="A1616" s="323"/>
      <c r="B1616" s="63"/>
      <c r="C1616" s="63"/>
      <c r="D1616" s="63"/>
      <c r="E1616" s="326"/>
      <c r="F1616" s="63"/>
    </row>
    <row r="1617" spans="1:6" ht="20.399999999999999">
      <c r="A1617" s="323"/>
      <c r="B1617" s="63"/>
      <c r="C1617" s="63"/>
      <c r="D1617" s="63"/>
      <c r="E1617" s="326"/>
      <c r="F1617" s="63"/>
    </row>
    <row r="1618" spans="1:6" ht="20.399999999999999">
      <c r="A1618" s="323"/>
      <c r="B1618" s="63"/>
      <c r="C1618" s="63"/>
      <c r="D1618" s="63"/>
      <c r="E1618" s="326"/>
      <c r="F1618" s="63"/>
    </row>
    <row r="1619" spans="1:6" ht="20.399999999999999">
      <c r="A1619" s="323"/>
      <c r="B1619" s="63"/>
      <c r="C1619" s="63"/>
      <c r="D1619" s="63"/>
      <c r="E1619" s="326"/>
      <c r="F1619" s="63"/>
    </row>
    <row r="1620" spans="1:6" ht="20.399999999999999">
      <c r="A1620" s="323"/>
      <c r="B1620" s="63"/>
      <c r="C1620" s="63"/>
      <c r="D1620" s="63"/>
      <c r="E1620" s="326"/>
      <c r="F1620" s="63"/>
    </row>
    <row r="1621" spans="1:6" ht="20.399999999999999">
      <c r="A1621" s="323"/>
      <c r="B1621" s="63"/>
      <c r="C1621" s="63"/>
      <c r="D1621" s="63"/>
      <c r="E1621" s="326"/>
      <c r="F1621" s="63"/>
    </row>
    <row r="1622" spans="1:6" ht="20.399999999999999">
      <c r="A1622" s="323"/>
      <c r="B1622" s="63"/>
      <c r="C1622" s="63"/>
      <c r="D1622" s="63"/>
      <c r="E1622" s="326"/>
      <c r="F1622" s="63"/>
    </row>
    <row r="1623" spans="1:6" ht="20.399999999999999">
      <c r="A1623" s="323"/>
      <c r="B1623" s="63"/>
      <c r="C1623" s="63"/>
      <c r="D1623" s="63"/>
      <c r="E1623" s="326"/>
      <c r="F1623" s="63"/>
    </row>
    <row r="1624" spans="1:6" ht="20.399999999999999">
      <c r="A1624" s="323"/>
      <c r="B1624" s="63"/>
      <c r="C1624" s="63"/>
      <c r="D1624" s="63"/>
      <c r="E1624" s="326"/>
      <c r="F1624" s="63"/>
    </row>
    <row r="1625" spans="1:6" ht="20.399999999999999">
      <c r="A1625" s="323"/>
      <c r="B1625" s="63"/>
      <c r="C1625" s="63"/>
      <c r="D1625" s="63"/>
      <c r="E1625" s="326"/>
      <c r="F1625" s="63"/>
    </row>
    <row r="1626" spans="1:6" ht="20.399999999999999">
      <c r="A1626" s="323"/>
      <c r="B1626" s="63"/>
      <c r="C1626" s="63"/>
      <c r="D1626" s="63"/>
      <c r="E1626" s="326"/>
      <c r="F1626" s="63"/>
    </row>
    <row r="1627" spans="1:6" ht="20.399999999999999">
      <c r="A1627" s="323"/>
      <c r="B1627" s="63"/>
      <c r="C1627" s="63"/>
      <c r="D1627" s="63"/>
      <c r="E1627" s="326"/>
      <c r="F1627" s="63"/>
    </row>
    <row r="1628" spans="1:6" ht="20.399999999999999">
      <c r="A1628" s="323"/>
      <c r="B1628" s="63"/>
      <c r="C1628" s="63"/>
      <c r="D1628" s="63"/>
      <c r="E1628" s="326"/>
      <c r="F1628" s="63"/>
    </row>
    <row r="1629" spans="1:6" ht="20.399999999999999">
      <c r="A1629" s="323"/>
      <c r="B1629" s="63"/>
      <c r="C1629" s="63"/>
      <c r="D1629" s="63"/>
      <c r="E1629" s="326"/>
      <c r="F1629" s="63"/>
    </row>
    <row r="1630" spans="1:6" ht="20.399999999999999">
      <c r="A1630" s="323"/>
      <c r="B1630" s="63"/>
      <c r="C1630" s="63"/>
      <c r="D1630" s="63"/>
      <c r="E1630" s="326"/>
      <c r="F1630" s="63"/>
    </row>
    <row r="1631" spans="1:6" ht="20.399999999999999">
      <c r="A1631" s="323"/>
      <c r="B1631" s="63"/>
      <c r="C1631" s="63"/>
      <c r="D1631" s="63"/>
      <c r="E1631" s="326"/>
      <c r="F1631" s="63"/>
    </row>
    <row r="1632" spans="1:6" ht="20.399999999999999">
      <c r="A1632" s="323"/>
      <c r="B1632" s="63"/>
      <c r="C1632" s="63"/>
      <c r="D1632" s="63"/>
      <c r="E1632" s="326"/>
      <c r="F1632" s="63"/>
    </row>
    <row r="1633" spans="1:6" ht="20.399999999999999">
      <c r="A1633" s="323"/>
      <c r="B1633" s="63"/>
      <c r="C1633" s="63"/>
      <c r="D1633" s="63"/>
      <c r="E1633" s="326"/>
      <c r="F1633" s="63"/>
    </row>
    <row r="1634" spans="1:6" ht="20.399999999999999">
      <c r="A1634" s="323"/>
      <c r="B1634" s="63"/>
      <c r="C1634" s="63"/>
      <c r="D1634" s="63"/>
      <c r="E1634" s="326"/>
      <c r="F1634" s="63"/>
    </row>
    <row r="1635" spans="1:6" ht="20.399999999999999">
      <c r="A1635" s="323"/>
      <c r="B1635" s="63"/>
      <c r="C1635" s="63"/>
      <c r="D1635" s="63"/>
      <c r="E1635" s="326"/>
      <c r="F1635" s="63"/>
    </row>
    <row r="1636" spans="1:6" ht="20.399999999999999">
      <c r="A1636" s="323"/>
      <c r="B1636" s="63"/>
      <c r="C1636" s="63"/>
      <c r="D1636" s="63"/>
      <c r="E1636" s="326"/>
      <c r="F1636" s="63"/>
    </row>
    <row r="1637" spans="1:6" ht="20.399999999999999">
      <c r="A1637" s="323"/>
      <c r="B1637" s="63"/>
      <c r="C1637" s="63"/>
      <c r="D1637" s="63"/>
      <c r="E1637" s="326"/>
      <c r="F1637" s="63"/>
    </row>
    <row r="1638" spans="1:6" ht="20.399999999999999">
      <c r="A1638" s="323"/>
      <c r="B1638" s="63"/>
      <c r="C1638" s="63"/>
      <c r="D1638" s="63"/>
      <c r="E1638" s="326"/>
      <c r="F1638" s="63"/>
    </row>
    <row r="1639" spans="1:6" ht="20.399999999999999">
      <c r="A1639" s="323"/>
      <c r="B1639" s="63"/>
      <c r="C1639" s="63"/>
      <c r="D1639" s="63"/>
      <c r="E1639" s="326"/>
      <c r="F1639" s="63"/>
    </row>
    <row r="1640" spans="1:6" ht="20.399999999999999">
      <c r="A1640" s="323"/>
      <c r="B1640" s="63"/>
      <c r="C1640" s="63"/>
      <c r="D1640" s="63"/>
      <c r="E1640" s="326"/>
      <c r="F1640" s="63"/>
    </row>
    <row r="1641" spans="1:6" ht="20.399999999999999">
      <c r="A1641" s="323"/>
      <c r="B1641" s="63"/>
      <c r="C1641" s="63"/>
      <c r="D1641" s="63"/>
      <c r="E1641" s="326"/>
      <c r="F1641" s="63"/>
    </row>
    <row r="1642" spans="1:6" ht="20.399999999999999">
      <c r="A1642" s="323"/>
      <c r="B1642" s="63"/>
      <c r="C1642" s="63"/>
      <c r="D1642" s="63"/>
      <c r="E1642" s="326"/>
      <c r="F1642" s="63"/>
    </row>
    <row r="1643" spans="1:6" ht="20.399999999999999">
      <c r="A1643" s="323"/>
      <c r="B1643" s="63"/>
      <c r="C1643" s="63"/>
      <c r="D1643" s="63"/>
      <c r="E1643" s="326"/>
      <c r="F1643" s="63"/>
    </row>
    <row r="1644" spans="1:6" ht="20.399999999999999">
      <c r="A1644" s="323"/>
      <c r="B1644" s="63"/>
      <c r="C1644" s="63"/>
      <c r="D1644" s="63"/>
      <c r="E1644" s="326"/>
      <c r="F1644" s="63"/>
    </row>
    <row r="1645" spans="1:6" ht="20.399999999999999">
      <c r="A1645" s="323"/>
      <c r="B1645" s="63"/>
      <c r="C1645" s="63"/>
      <c r="D1645" s="63"/>
      <c r="E1645" s="326"/>
      <c r="F1645" s="63"/>
    </row>
    <row r="1646" spans="1:6" ht="20.399999999999999">
      <c r="A1646" s="323"/>
      <c r="B1646" s="63"/>
      <c r="C1646" s="63"/>
      <c r="D1646" s="63"/>
      <c r="E1646" s="326"/>
      <c r="F1646" s="63"/>
    </row>
    <row r="1647" spans="1:6" ht="20.399999999999999">
      <c r="A1647" s="323"/>
      <c r="B1647" s="63"/>
      <c r="C1647" s="63"/>
      <c r="D1647" s="63"/>
      <c r="E1647" s="326"/>
      <c r="F1647" s="63"/>
    </row>
    <row r="1648" spans="1:6" ht="20.399999999999999">
      <c r="A1648" s="323"/>
      <c r="B1648" s="63"/>
      <c r="C1648" s="63"/>
      <c r="D1648" s="63"/>
      <c r="E1648" s="326"/>
      <c r="F1648" s="63"/>
    </row>
    <row r="1649" spans="1:6" ht="20.399999999999999">
      <c r="A1649" s="323"/>
      <c r="B1649" s="63"/>
      <c r="C1649" s="63"/>
      <c r="D1649" s="63"/>
      <c r="E1649" s="326"/>
      <c r="F1649" s="63"/>
    </row>
    <row r="1650" spans="1:6" ht="20.399999999999999">
      <c r="A1650" s="323"/>
      <c r="B1650" s="63"/>
      <c r="C1650" s="63"/>
      <c r="D1650" s="63"/>
      <c r="E1650" s="326"/>
      <c r="F1650" s="63"/>
    </row>
    <row r="1651" spans="1:6" ht="20.399999999999999">
      <c r="A1651" s="323"/>
      <c r="B1651" s="63"/>
      <c r="C1651" s="63"/>
      <c r="D1651" s="63"/>
      <c r="E1651" s="326"/>
      <c r="F1651" s="63"/>
    </row>
    <row r="1652" spans="1:6" ht="20.399999999999999">
      <c r="A1652" s="323"/>
      <c r="B1652" s="63"/>
      <c r="C1652" s="63"/>
      <c r="D1652" s="63"/>
      <c r="E1652" s="326"/>
      <c r="F1652" s="63"/>
    </row>
    <row r="1653" spans="1:6" ht="20.399999999999999">
      <c r="A1653" s="323"/>
      <c r="B1653" s="63"/>
      <c r="C1653" s="63"/>
      <c r="D1653" s="63"/>
      <c r="E1653" s="326"/>
      <c r="F1653" s="63"/>
    </row>
    <row r="1654" spans="1:6" ht="20.399999999999999">
      <c r="A1654" s="323"/>
      <c r="B1654" s="63"/>
      <c r="C1654" s="63"/>
      <c r="D1654" s="63"/>
      <c r="E1654" s="326"/>
      <c r="F1654" s="63"/>
    </row>
    <row r="1655" spans="1:6" ht="20.399999999999999">
      <c r="A1655" s="323"/>
      <c r="B1655" s="63"/>
      <c r="C1655" s="63"/>
      <c r="D1655" s="63"/>
      <c r="E1655" s="326"/>
      <c r="F1655" s="63"/>
    </row>
    <row r="1656" spans="1:6" ht="20.399999999999999">
      <c r="A1656" s="323"/>
      <c r="B1656" s="63"/>
      <c r="C1656" s="63"/>
      <c r="D1656" s="63"/>
      <c r="E1656" s="326"/>
      <c r="F1656" s="63"/>
    </row>
    <row r="1657" spans="1:6" ht="20.399999999999999">
      <c r="A1657" s="323"/>
      <c r="B1657" s="63"/>
      <c r="C1657" s="63"/>
      <c r="D1657" s="63"/>
      <c r="E1657" s="326"/>
      <c r="F1657" s="63"/>
    </row>
    <row r="1658" spans="1:6" ht="20.399999999999999">
      <c r="A1658" s="323"/>
      <c r="B1658" s="63"/>
      <c r="C1658" s="63"/>
      <c r="D1658" s="63"/>
      <c r="E1658" s="326"/>
      <c r="F1658" s="63"/>
    </row>
    <row r="1659" spans="1:6" ht="20.399999999999999">
      <c r="A1659" s="323"/>
      <c r="B1659" s="63"/>
      <c r="C1659" s="63"/>
      <c r="D1659" s="63"/>
      <c r="E1659" s="326"/>
      <c r="F1659" s="63"/>
    </row>
    <row r="1660" spans="1:6" ht="20.399999999999999">
      <c r="A1660" s="323"/>
      <c r="B1660" s="63"/>
      <c r="C1660" s="63"/>
      <c r="D1660" s="63"/>
      <c r="E1660" s="326"/>
      <c r="F1660" s="63"/>
    </row>
    <row r="1661" spans="1:6" ht="20.399999999999999">
      <c r="A1661" s="323"/>
      <c r="B1661" s="63"/>
      <c r="C1661" s="63"/>
      <c r="D1661" s="63"/>
      <c r="E1661" s="326"/>
      <c r="F1661" s="63"/>
    </row>
    <row r="1662" spans="1:6" ht="20.399999999999999">
      <c r="A1662" s="323"/>
      <c r="B1662" s="63"/>
      <c r="C1662" s="63"/>
      <c r="D1662" s="63"/>
      <c r="E1662" s="326"/>
      <c r="F1662" s="63"/>
    </row>
    <row r="1663" spans="1:6" ht="20.399999999999999">
      <c r="A1663" s="323"/>
      <c r="B1663" s="63"/>
      <c r="C1663" s="63"/>
      <c r="D1663" s="63"/>
      <c r="E1663" s="326"/>
      <c r="F1663" s="63"/>
    </row>
    <row r="1664" spans="1:6" ht="20.399999999999999">
      <c r="A1664" s="323"/>
      <c r="B1664" s="63"/>
      <c r="C1664" s="63"/>
      <c r="D1664" s="63"/>
      <c r="E1664" s="326"/>
      <c r="F1664" s="63"/>
    </row>
    <row r="1665" spans="1:6" ht="20.399999999999999">
      <c r="A1665" s="323"/>
      <c r="B1665" s="63"/>
      <c r="C1665" s="63"/>
      <c r="D1665" s="63"/>
      <c r="E1665" s="326"/>
      <c r="F1665" s="63"/>
    </row>
    <row r="1666" spans="1:6" ht="20.399999999999999">
      <c r="A1666" s="323"/>
      <c r="B1666" s="63"/>
      <c r="C1666" s="63"/>
      <c r="D1666" s="63"/>
      <c r="E1666" s="326"/>
      <c r="F1666" s="63"/>
    </row>
    <row r="1667" spans="1:6" ht="20.399999999999999">
      <c r="A1667" s="323"/>
      <c r="B1667" s="63"/>
      <c r="C1667" s="63"/>
      <c r="D1667" s="63"/>
      <c r="E1667" s="326"/>
      <c r="F1667" s="63"/>
    </row>
    <row r="1668" spans="1:6" ht="20.399999999999999">
      <c r="A1668" s="323"/>
      <c r="B1668" s="63"/>
      <c r="C1668" s="63"/>
      <c r="D1668" s="63"/>
      <c r="E1668" s="326"/>
      <c r="F1668" s="63"/>
    </row>
    <row r="1669" spans="1:6" ht="20.399999999999999">
      <c r="A1669" s="323"/>
      <c r="B1669" s="63"/>
      <c r="C1669" s="63"/>
      <c r="D1669" s="63"/>
      <c r="E1669" s="326"/>
      <c r="F1669" s="63"/>
    </row>
    <row r="1670" spans="1:6" ht="20.399999999999999">
      <c r="A1670" s="323"/>
      <c r="B1670" s="63"/>
      <c r="C1670" s="63"/>
      <c r="D1670" s="63"/>
      <c r="E1670" s="326"/>
      <c r="F1670" s="63"/>
    </row>
    <row r="1671" spans="1:6" ht="20.399999999999999">
      <c r="A1671" s="323"/>
      <c r="B1671" s="63"/>
      <c r="C1671" s="63"/>
      <c r="D1671" s="63"/>
      <c r="E1671" s="326"/>
      <c r="F1671" s="63"/>
    </row>
    <row r="1672" spans="1:6" ht="20.399999999999999">
      <c r="A1672" s="323"/>
      <c r="B1672" s="63"/>
      <c r="C1672" s="63"/>
      <c r="D1672" s="63"/>
      <c r="E1672" s="326"/>
      <c r="F1672" s="63"/>
    </row>
    <row r="1673" spans="1:6" ht="20.399999999999999">
      <c r="A1673" s="323"/>
      <c r="B1673" s="63"/>
      <c r="C1673" s="63"/>
      <c r="D1673" s="63"/>
      <c r="E1673" s="326"/>
      <c r="F1673" s="63"/>
    </row>
    <row r="1674" spans="1:6" ht="20.399999999999999">
      <c r="A1674" s="323"/>
      <c r="B1674" s="63"/>
      <c r="C1674" s="63"/>
      <c r="D1674" s="63"/>
      <c r="E1674" s="326"/>
      <c r="F1674" s="63"/>
    </row>
    <row r="1675" spans="1:6" ht="20.399999999999999">
      <c r="A1675" s="323"/>
      <c r="B1675" s="63"/>
      <c r="C1675" s="63"/>
      <c r="D1675" s="63"/>
      <c r="E1675" s="326"/>
      <c r="F1675" s="63"/>
    </row>
    <row r="1676" spans="1:6" ht="20.399999999999999">
      <c r="A1676" s="323"/>
      <c r="B1676" s="63"/>
      <c r="C1676" s="63"/>
      <c r="D1676" s="63"/>
      <c r="E1676" s="326"/>
      <c r="F1676" s="63"/>
    </row>
    <row r="1677" spans="1:6" ht="20.399999999999999">
      <c r="A1677" s="323"/>
      <c r="B1677" s="63"/>
      <c r="C1677" s="63"/>
      <c r="D1677" s="63"/>
      <c r="E1677" s="326"/>
      <c r="F1677" s="63"/>
    </row>
    <row r="1678" spans="1:6" ht="20.399999999999999">
      <c r="A1678" s="323"/>
      <c r="B1678" s="63"/>
      <c r="C1678" s="63"/>
      <c r="D1678" s="63"/>
      <c r="E1678" s="326"/>
      <c r="F1678" s="63"/>
    </row>
    <row r="1679" spans="1:6" ht="20.399999999999999">
      <c r="A1679" s="323"/>
      <c r="B1679" s="63"/>
      <c r="C1679" s="63"/>
      <c r="D1679" s="63"/>
      <c r="E1679" s="326"/>
      <c r="F1679" s="63"/>
    </row>
    <row r="1680" spans="1:6" ht="20.399999999999999">
      <c r="A1680" s="323"/>
      <c r="B1680" s="63"/>
      <c r="C1680" s="63"/>
      <c r="D1680" s="63"/>
      <c r="E1680" s="326"/>
      <c r="F1680" s="63"/>
    </row>
    <row r="1681" spans="1:6" ht="20.399999999999999">
      <c r="A1681" s="323"/>
      <c r="B1681" s="63"/>
      <c r="C1681" s="63"/>
      <c r="D1681" s="63"/>
      <c r="E1681" s="326"/>
      <c r="F1681" s="63"/>
    </row>
    <row r="1682" spans="1:6" ht="20.399999999999999">
      <c r="A1682" s="323"/>
      <c r="B1682" s="63"/>
      <c r="C1682" s="63"/>
      <c r="D1682" s="63"/>
      <c r="E1682" s="326"/>
      <c r="F1682" s="63"/>
    </row>
    <row r="1683" spans="1:6" ht="20.399999999999999">
      <c r="A1683" s="323"/>
      <c r="B1683" s="63"/>
      <c r="C1683" s="63"/>
      <c r="D1683" s="63"/>
      <c r="E1683" s="326"/>
      <c r="F1683" s="63"/>
    </row>
    <row r="1684" spans="1:6" ht="20.399999999999999">
      <c r="A1684" s="323"/>
      <c r="B1684" s="63"/>
      <c r="C1684" s="63"/>
      <c r="D1684" s="63"/>
      <c r="E1684" s="326"/>
      <c r="F1684" s="63"/>
    </row>
    <row r="1685" spans="1:6" ht="20.399999999999999">
      <c r="A1685" s="323"/>
      <c r="B1685" s="63"/>
      <c r="C1685" s="63"/>
      <c r="D1685" s="63"/>
      <c r="E1685" s="326"/>
      <c r="F1685" s="63"/>
    </row>
    <row r="1686" spans="1:6" ht="20.399999999999999">
      <c r="A1686" s="323"/>
      <c r="B1686" s="63"/>
      <c r="C1686" s="63"/>
      <c r="D1686" s="63"/>
      <c r="E1686" s="326"/>
      <c r="F1686" s="63"/>
    </row>
    <row r="1687" spans="1:6" ht="20.399999999999999">
      <c r="A1687" s="323"/>
      <c r="B1687" s="63"/>
      <c r="C1687" s="63"/>
      <c r="D1687" s="63"/>
      <c r="E1687" s="326"/>
      <c r="F1687" s="63"/>
    </row>
    <row r="1688" spans="1:6" ht="20.399999999999999">
      <c r="A1688" s="323"/>
      <c r="B1688" s="63"/>
      <c r="C1688" s="63"/>
      <c r="D1688" s="63"/>
      <c r="E1688" s="326"/>
      <c r="F1688" s="63"/>
    </row>
    <row r="1689" spans="1:6" ht="20.399999999999999">
      <c r="A1689" s="323"/>
      <c r="B1689" s="63"/>
      <c r="C1689" s="63"/>
      <c r="D1689" s="63"/>
      <c r="E1689" s="326"/>
      <c r="F1689" s="63"/>
    </row>
    <row r="1690" spans="1:6" ht="20.399999999999999">
      <c r="A1690" s="323"/>
      <c r="B1690" s="63"/>
      <c r="C1690" s="63"/>
      <c r="D1690" s="63"/>
      <c r="E1690" s="326"/>
      <c r="F1690" s="63"/>
    </row>
    <row r="1691" spans="1:6" ht="20.399999999999999">
      <c r="A1691" s="323"/>
      <c r="B1691" s="63"/>
      <c r="C1691" s="63"/>
      <c r="D1691" s="63"/>
      <c r="E1691" s="326"/>
      <c r="F1691" s="63"/>
    </row>
    <row r="1692" spans="1:6" ht="20.399999999999999">
      <c r="A1692" s="323"/>
      <c r="B1692" s="63"/>
      <c r="C1692" s="63"/>
      <c r="D1692" s="63"/>
      <c r="E1692" s="326"/>
      <c r="F1692" s="63"/>
    </row>
    <row r="1693" spans="1:6" ht="20.399999999999999">
      <c r="A1693" s="323"/>
      <c r="B1693" s="63"/>
      <c r="C1693" s="63"/>
      <c r="D1693" s="63"/>
      <c r="E1693" s="326"/>
      <c r="F1693" s="63"/>
    </row>
    <row r="1694" spans="1:6" ht="20.399999999999999">
      <c r="A1694" s="323"/>
      <c r="B1694" s="63"/>
      <c r="C1694" s="63"/>
      <c r="D1694" s="63"/>
      <c r="E1694" s="326"/>
      <c r="F1694" s="63"/>
    </row>
    <row r="1695" spans="1:6" ht="20.399999999999999">
      <c r="A1695" s="323"/>
      <c r="B1695" s="63"/>
      <c r="C1695" s="63"/>
      <c r="D1695" s="63"/>
      <c r="E1695" s="326"/>
      <c r="F1695" s="63"/>
    </row>
    <row r="1696" spans="1:6" ht="20.399999999999999">
      <c r="A1696" s="323"/>
      <c r="B1696" s="63"/>
      <c r="C1696" s="63"/>
      <c r="D1696" s="63"/>
      <c r="E1696" s="326"/>
      <c r="F1696" s="63"/>
    </row>
    <row r="1697" spans="1:6" ht="20.399999999999999">
      <c r="A1697" s="323"/>
      <c r="B1697" s="63"/>
      <c r="C1697" s="63"/>
      <c r="D1697" s="63"/>
      <c r="E1697" s="326"/>
      <c r="F1697" s="63"/>
    </row>
    <row r="1698" spans="1:6" ht="20.399999999999999">
      <c r="A1698" s="323"/>
      <c r="B1698" s="63"/>
      <c r="C1698" s="63"/>
      <c r="D1698" s="63"/>
      <c r="E1698" s="326"/>
      <c r="F1698" s="63"/>
    </row>
    <row r="1699" spans="1:6" ht="20.399999999999999">
      <c r="A1699" s="323"/>
      <c r="B1699" s="63"/>
      <c r="C1699" s="63"/>
      <c r="D1699" s="63"/>
      <c r="E1699" s="326"/>
      <c r="F1699" s="63"/>
    </row>
    <row r="1700" spans="1:6" ht="20.399999999999999">
      <c r="A1700" s="323"/>
      <c r="B1700" s="63"/>
      <c r="C1700" s="63"/>
      <c r="D1700" s="63"/>
      <c r="E1700" s="326"/>
      <c r="F1700" s="63"/>
    </row>
    <row r="1701" spans="1:6" ht="20.399999999999999">
      <c r="A1701" s="323"/>
      <c r="B1701" s="63"/>
      <c r="C1701" s="63"/>
      <c r="D1701" s="63"/>
      <c r="E1701" s="326"/>
      <c r="F1701" s="63"/>
    </row>
    <row r="1702" spans="1:6" ht="20.399999999999999">
      <c r="A1702" s="323"/>
      <c r="B1702" s="63"/>
      <c r="C1702" s="63"/>
      <c r="D1702" s="63"/>
      <c r="E1702" s="326"/>
      <c r="F1702" s="63"/>
    </row>
    <row r="1703" spans="1:6" ht="20.399999999999999">
      <c r="A1703" s="323"/>
      <c r="B1703" s="63"/>
      <c r="C1703" s="63"/>
      <c r="D1703" s="63"/>
      <c r="E1703" s="326"/>
      <c r="F1703" s="63"/>
    </row>
    <row r="1704" spans="1:6" ht="20.399999999999999">
      <c r="A1704" s="323"/>
      <c r="B1704" s="63"/>
      <c r="C1704" s="63"/>
      <c r="D1704" s="63"/>
      <c r="E1704" s="326"/>
      <c r="F1704" s="63"/>
    </row>
    <row r="1705" spans="1:6" ht="20.399999999999999">
      <c r="A1705" s="323"/>
      <c r="B1705" s="63"/>
      <c r="C1705" s="63"/>
      <c r="D1705" s="63"/>
      <c r="E1705" s="326"/>
      <c r="F1705" s="63"/>
    </row>
    <row r="1706" spans="1:6" ht="20.399999999999999">
      <c r="A1706" s="323"/>
      <c r="B1706" s="63"/>
      <c r="C1706" s="63"/>
      <c r="D1706" s="63"/>
      <c r="E1706" s="326"/>
      <c r="F1706" s="63"/>
    </row>
    <row r="1707" spans="1:6" ht="20.399999999999999">
      <c r="A1707" s="323"/>
      <c r="B1707" s="63"/>
      <c r="C1707" s="63"/>
      <c r="D1707" s="63"/>
      <c r="E1707" s="326"/>
      <c r="F1707" s="63"/>
    </row>
    <row r="1708" spans="1:6" ht="20.399999999999999">
      <c r="A1708" s="323"/>
      <c r="B1708" s="63"/>
      <c r="C1708" s="63"/>
      <c r="D1708" s="63"/>
      <c r="E1708" s="326"/>
      <c r="F1708" s="63"/>
    </row>
    <row r="1709" spans="1:6" ht="20.399999999999999">
      <c r="A1709" s="323"/>
      <c r="B1709" s="63"/>
      <c r="C1709" s="63"/>
      <c r="D1709" s="63"/>
      <c r="E1709" s="326"/>
      <c r="F1709" s="63"/>
    </row>
    <row r="1710" spans="1:6" ht="20.399999999999999">
      <c r="A1710" s="323"/>
      <c r="B1710" s="63"/>
      <c r="C1710" s="63"/>
      <c r="D1710" s="63"/>
      <c r="E1710" s="326"/>
      <c r="F1710" s="63"/>
    </row>
    <row r="1711" spans="1:6" ht="20.399999999999999">
      <c r="A1711" s="323"/>
      <c r="B1711" s="63"/>
      <c r="C1711" s="63"/>
      <c r="D1711" s="63"/>
      <c r="E1711" s="326"/>
      <c r="F1711" s="63"/>
    </row>
    <row r="1712" spans="1:6" ht="20.399999999999999">
      <c r="A1712" s="323"/>
      <c r="B1712" s="63"/>
      <c r="C1712" s="63"/>
      <c r="D1712" s="63"/>
      <c r="E1712" s="326"/>
      <c r="F1712" s="63"/>
    </row>
    <row r="1713" spans="1:6" ht="20.399999999999999">
      <c r="A1713" s="323"/>
      <c r="B1713" s="63"/>
      <c r="C1713" s="63"/>
      <c r="D1713" s="63"/>
      <c r="E1713" s="326"/>
      <c r="F1713" s="63"/>
    </row>
    <row r="1714" spans="1:6" ht="20.399999999999999">
      <c r="A1714" s="323"/>
      <c r="B1714" s="63"/>
      <c r="C1714" s="63"/>
      <c r="D1714" s="63"/>
      <c r="E1714" s="326"/>
      <c r="F1714" s="63"/>
    </row>
    <row r="1715" spans="1:6" ht="20.399999999999999">
      <c r="A1715" s="323"/>
      <c r="B1715" s="63"/>
      <c r="C1715" s="63"/>
      <c r="D1715" s="63"/>
      <c r="E1715" s="326"/>
      <c r="F1715" s="63"/>
    </row>
    <row r="1716" spans="1:6" ht="20.399999999999999">
      <c r="A1716" s="323"/>
      <c r="B1716" s="63"/>
      <c r="C1716" s="63"/>
      <c r="D1716" s="63"/>
      <c r="E1716" s="326"/>
      <c r="F1716" s="63"/>
    </row>
    <row r="1717" spans="1:6" ht="20.399999999999999">
      <c r="A1717" s="323"/>
      <c r="B1717" s="63"/>
      <c r="C1717" s="63"/>
      <c r="D1717" s="63"/>
      <c r="E1717" s="326"/>
      <c r="F1717" s="63"/>
    </row>
    <row r="1718" spans="1:6" ht="20.399999999999999">
      <c r="A1718" s="323"/>
      <c r="B1718" s="63"/>
      <c r="C1718" s="63"/>
      <c r="D1718" s="63"/>
      <c r="E1718" s="326"/>
      <c r="F1718" s="63"/>
    </row>
    <row r="1719" spans="1:6" ht="20.399999999999999">
      <c r="A1719" s="323"/>
      <c r="B1719" s="63"/>
      <c r="C1719" s="63"/>
      <c r="D1719" s="63"/>
      <c r="E1719" s="326"/>
      <c r="F1719" s="63"/>
    </row>
    <row r="1720" spans="1:6" ht="20.399999999999999">
      <c r="A1720" s="323"/>
      <c r="B1720" s="63"/>
      <c r="C1720" s="63"/>
      <c r="D1720" s="63"/>
      <c r="E1720" s="326"/>
      <c r="F1720" s="63"/>
    </row>
    <row r="1721" spans="1:6" ht="20.399999999999999">
      <c r="A1721" s="323"/>
      <c r="B1721" s="63"/>
      <c r="C1721" s="63"/>
      <c r="D1721" s="63"/>
      <c r="E1721" s="326"/>
      <c r="F1721" s="63"/>
    </row>
    <row r="1722" spans="1:6" ht="20.399999999999999">
      <c r="A1722" s="323"/>
      <c r="B1722" s="63"/>
      <c r="C1722" s="63"/>
      <c r="D1722" s="63"/>
      <c r="E1722" s="326"/>
      <c r="F1722" s="63"/>
    </row>
    <row r="1723" spans="1:6" ht="20.399999999999999">
      <c r="A1723" s="323"/>
      <c r="B1723" s="63"/>
      <c r="C1723" s="63"/>
      <c r="D1723" s="63"/>
      <c r="E1723" s="326"/>
      <c r="F1723" s="63"/>
    </row>
    <row r="1724" spans="1:6" ht="20.399999999999999">
      <c r="A1724" s="323"/>
      <c r="B1724" s="63"/>
      <c r="C1724" s="63"/>
      <c r="D1724" s="63"/>
      <c r="E1724" s="326"/>
      <c r="F1724" s="63"/>
    </row>
    <row r="1725" spans="1:6" ht="20.399999999999999">
      <c r="A1725" s="323"/>
      <c r="B1725" s="63"/>
      <c r="C1725" s="63"/>
      <c r="D1725" s="63"/>
      <c r="E1725" s="326"/>
      <c r="F1725" s="63"/>
    </row>
    <row r="1726" spans="1:6" ht="20.399999999999999">
      <c r="A1726" s="323"/>
      <c r="B1726" s="63"/>
      <c r="C1726" s="63"/>
      <c r="D1726" s="63"/>
      <c r="E1726" s="326"/>
      <c r="F1726" s="63"/>
    </row>
    <row r="1727" spans="1:6" ht="20.399999999999999">
      <c r="A1727" s="323"/>
      <c r="B1727" s="63"/>
      <c r="C1727" s="63"/>
      <c r="D1727" s="63"/>
      <c r="E1727" s="326"/>
      <c r="F1727" s="63"/>
    </row>
    <row r="1728" spans="1:6" ht="20.399999999999999">
      <c r="A1728" s="323"/>
      <c r="B1728" s="63"/>
      <c r="C1728" s="63"/>
      <c r="D1728" s="63"/>
      <c r="E1728" s="326"/>
      <c r="F1728" s="63"/>
    </row>
    <row r="1729" spans="1:6" ht="20.399999999999999">
      <c r="A1729" s="323"/>
      <c r="B1729" s="63"/>
      <c r="C1729" s="63"/>
      <c r="D1729" s="63"/>
      <c r="E1729" s="326"/>
      <c r="F1729" s="63"/>
    </row>
    <row r="1730" spans="1:6" ht="20.399999999999999">
      <c r="A1730" s="323"/>
      <c r="B1730" s="63"/>
      <c r="C1730" s="63"/>
      <c r="D1730" s="63"/>
      <c r="E1730" s="326"/>
      <c r="F1730" s="63"/>
    </row>
    <row r="1731" spans="1:6" ht="20.399999999999999">
      <c r="A1731" s="323"/>
      <c r="B1731" s="63"/>
      <c r="C1731" s="63"/>
      <c r="D1731" s="63"/>
      <c r="E1731" s="326"/>
      <c r="F1731" s="63"/>
    </row>
    <row r="1732" spans="1:6" ht="20.399999999999999">
      <c r="A1732" s="323"/>
      <c r="B1732" s="63"/>
      <c r="C1732" s="63"/>
      <c r="D1732" s="63"/>
      <c r="E1732" s="326"/>
      <c r="F1732" s="63"/>
    </row>
    <row r="1733" spans="1:6" ht="20.399999999999999">
      <c r="A1733" s="323"/>
      <c r="B1733" s="63"/>
      <c r="C1733" s="63"/>
      <c r="D1733" s="63"/>
      <c r="E1733" s="326"/>
      <c r="F1733" s="63"/>
    </row>
    <row r="1734" spans="1:6" ht="20.399999999999999">
      <c r="A1734" s="323"/>
      <c r="B1734" s="63"/>
      <c r="C1734" s="63"/>
      <c r="D1734" s="63"/>
      <c r="E1734" s="326"/>
      <c r="F1734" s="63"/>
    </row>
    <row r="1735" spans="1:6" ht="20.399999999999999">
      <c r="A1735" s="323"/>
      <c r="B1735" s="63"/>
      <c r="C1735" s="63"/>
      <c r="D1735" s="63"/>
      <c r="E1735" s="326"/>
      <c r="F1735" s="63"/>
    </row>
    <row r="1736" spans="1:6" ht="20.399999999999999">
      <c r="A1736" s="323"/>
      <c r="B1736" s="63"/>
      <c r="C1736" s="63"/>
      <c r="D1736" s="63"/>
      <c r="E1736" s="326"/>
      <c r="F1736" s="63"/>
    </row>
    <row r="1737" spans="1:6" ht="20.399999999999999">
      <c r="A1737" s="323"/>
      <c r="B1737" s="63"/>
      <c r="C1737" s="63"/>
      <c r="D1737" s="63"/>
      <c r="E1737" s="326"/>
      <c r="F1737" s="63"/>
    </row>
    <row r="1738" spans="1:6" ht="20.399999999999999">
      <c r="A1738" s="323"/>
      <c r="B1738" s="63"/>
      <c r="C1738" s="63"/>
      <c r="D1738" s="63"/>
      <c r="E1738" s="326"/>
      <c r="F1738" s="63"/>
    </row>
    <row r="1739" spans="1:6" ht="20.399999999999999">
      <c r="A1739" s="323"/>
      <c r="B1739" s="63"/>
      <c r="C1739" s="63"/>
      <c r="D1739" s="63"/>
      <c r="E1739" s="326"/>
      <c r="F1739" s="63"/>
    </row>
    <row r="1740" spans="1:6" ht="20.399999999999999">
      <c r="A1740" s="323"/>
      <c r="B1740" s="63"/>
      <c r="C1740" s="63"/>
      <c r="D1740" s="63"/>
      <c r="E1740" s="326"/>
      <c r="F1740" s="63"/>
    </row>
    <row r="1741" spans="1:6" ht="20.399999999999999">
      <c r="A1741" s="323"/>
      <c r="B1741" s="63"/>
      <c r="C1741" s="63"/>
      <c r="D1741" s="63"/>
      <c r="E1741" s="326"/>
      <c r="F1741" s="63"/>
    </row>
    <row r="1742" spans="1:6" ht="20.399999999999999">
      <c r="A1742" s="323"/>
      <c r="B1742" s="63"/>
      <c r="C1742" s="63"/>
      <c r="D1742" s="63"/>
      <c r="E1742" s="326"/>
      <c r="F1742" s="63"/>
    </row>
    <row r="1743" spans="1:6" ht="20.399999999999999">
      <c r="A1743" s="323"/>
      <c r="B1743" s="63"/>
      <c r="C1743" s="63"/>
      <c r="D1743" s="63"/>
      <c r="E1743" s="326"/>
      <c r="F1743" s="63"/>
    </row>
    <row r="1744" spans="1:6" ht="20.399999999999999">
      <c r="A1744" s="323"/>
      <c r="B1744" s="63"/>
      <c r="C1744" s="63"/>
      <c r="D1744" s="63"/>
      <c r="E1744" s="326"/>
      <c r="F1744" s="63"/>
    </row>
    <row r="1745" spans="1:6" ht="20.399999999999999">
      <c r="A1745" s="323"/>
      <c r="B1745" s="63"/>
      <c r="C1745" s="63"/>
      <c r="D1745" s="63"/>
      <c r="E1745" s="326"/>
      <c r="F1745" s="63"/>
    </row>
    <row r="1746" spans="1:6" ht="20.399999999999999">
      <c r="A1746" s="323"/>
      <c r="B1746" s="63"/>
      <c r="C1746" s="63"/>
      <c r="D1746" s="63"/>
      <c r="E1746" s="326"/>
      <c r="F1746" s="63"/>
    </row>
    <row r="1747" spans="1:6" ht="20.399999999999999">
      <c r="A1747" s="323"/>
      <c r="B1747" s="63"/>
      <c r="C1747" s="63"/>
      <c r="D1747" s="63"/>
      <c r="E1747" s="326"/>
      <c r="F1747" s="63"/>
    </row>
    <row r="1748" spans="1:6" ht="20.399999999999999">
      <c r="A1748" s="323"/>
      <c r="B1748" s="63"/>
      <c r="C1748" s="63"/>
      <c r="D1748" s="63"/>
      <c r="E1748" s="326"/>
      <c r="F1748" s="63"/>
    </row>
    <row r="1749" spans="1:6" ht="20.399999999999999">
      <c r="A1749" s="323"/>
      <c r="B1749" s="63"/>
      <c r="C1749" s="63"/>
      <c r="D1749" s="63"/>
      <c r="E1749" s="326"/>
      <c r="F1749" s="63"/>
    </row>
    <row r="1750" spans="1:6" ht="20.399999999999999">
      <c r="A1750" s="323"/>
      <c r="B1750" s="63"/>
      <c r="C1750" s="63"/>
      <c r="D1750" s="63"/>
      <c r="E1750" s="326"/>
      <c r="F1750" s="63"/>
    </row>
    <row r="1751" spans="1:6" ht="20.399999999999999">
      <c r="A1751" s="323"/>
      <c r="B1751" s="63"/>
      <c r="C1751" s="63"/>
      <c r="D1751" s="63"/>
      <c r="E1751" s="326"/>
      <c r="F1751" s="63"/>
    </row>
    <row r="1752" spans="1:6" ht="20.399999999999999">
      <c r="A1752" s="323"/>
      <c r="B1752" s="63"/>
      <c r="C1752" s="63"/>
      <c r="D1752" s="63"/>
      <c r="E1752" s="326"/>
      <c r="F1752" s="63"/>
    </row>
    <row r="1753" spans="1:6" ht="20.399999999999999">
      <c r="A1753" s="323"/>
      <c r="B1753" s="63"/>
      <c r="C1753" s="63"/>
      <c r="D1753" s="63"/>
      <c r="E1753" s="326"/>
      <c r="F1753" s="63"/>
    </row>
    <row r="1754" spans="1:6" ht="20.399999999999999">
      <c r="A1754" s="323"/>
      <c r="B1754" s="63"/>
      <c r="C1754" s="63"/>
      <c r="D1754" s="63"/>
      <c r="E1754" s="326"/>
      <c r="F1754" s="63"/>
    </row>
    <row r="1755" spans="1:6" ht="20.399999999999999">
      <c r="A1755" s="323"/>
      <c r="B1755" s="63"/>
      <c r="C1755" s="63"/>
      <c r="D1755" s="63"/>
      <c r="E1755" s="326"/>
      <c r="F1755" s="63"/>
    </row>
    <row r="1756" spans="1:6" ht="20.399999999999999">
      <c r="A1756" s="323"/>
      <c r="B1756" s="63"/>
      <c r="C1756" s="63"/>
      <c r="D1756" s="63"/>
      <c r="E1756" s="326"/>
      <c r="F1756" s="63"/>
    </row>
    <row r="1757" spans="1:6" ht="20.399999999999999">
      <c r="A1757" s="323"/>
      <c r="B1757" s="63"/>
      <c r="C1757" s="63"/>
      <c r="D1757" s="63"/>
      <c r="E1757" s="326"/>
      <c r="F1757" s="63"/>
    </row>
    <row r="1758" spans="1:6" ht="20.399999999999999">
      <c r="A1758" s="323"/>
      <c r="B1758" s="63"/>
      <c r="C1758" s="63"/>
      <c r="D1758" s="63"/>
      <c r="E1758" s="326"/>
      <c r="F1758" s="63"/>
    </row>
    <row r="1759" spans="1:6" ht="20.399999999999999">
      <c r="A1759" s="323"/>
      <c r="B1759" s="63"/>
      <c r="C1759" s="63"/>
      <c r="D1759" s="63"/>
      <c r="E1759" s="326"/>
      <c r="F1759" s="63"/>
    </row>
    <row r="1760" spans="1:6" ht="20.399999999999999">
      <c r="A1760" s="323"/>
      <c r="B1760" s="63"/>
      <c r="C1760" s="63"/>
      <c r="D1760" s="63"/>
      <c r="E1760" s="326"/>
      <c r="F1760" s="63"/>
    </row>
    <row r="1761" spans="1:6" ht="20.399999999999999">
      <c r="A1761" s="323"/>
      <c r="B1761" s="63"/>
      <c r="C1761" s="63"/>
      <c r="D1761" s="63"/>
      <c r="E1761" s="326"/>
      <c r="F1761" s="63"/>
    </row>
    <row r="1762" spans="1:6" ht="20.399999999999999">
      <c r="A1762" s="323"/>
      <c r="B1762" s="63"/>
      <c r="C1762" s="63"/>
      <c r="D1762" s="63"/>
      <c r="E1762" s="326"/>
      <c r="F1762" s="63"/>
    </row>
    <row r="1763" spans="1:6" ht="20.399999999999999">
      <c r="A1763" s="323"/>
      <c r="B1763" s="63"/>
      <c r="C1763" s="63"/>
      <c r="D1763" s="63"/>
      <c r="E1763" s="326"/>
      <c r="F1763" s="63"/>
    </row>
    <row r="1764" spans="1:6" ht="20.399999999999999">
      <c r="A1764" s="323"/>
      <c r="B1764" s="63"/>
      <c r="C1764" s="63"/>
      <c r="D1764" s="63"/>
      <c r="E1764" s="326"/>
      <c r="F1764" s="63"/>
    </row>
    <row r="1765" spans="1:6" ht="20.399999999999999">
      <c r="A1765" s="323"/>
      <c r="B1765" s="63"/>
      <c r="C1765" s="63"/>
      <c r="D1765" s="63"/>
      <c r="E1765" s="326"/>
      <c r="F1765" s="63"/>
    </row>
    <row r="1766" spans="1:6" ht="20.399999999999999">
      <c r="A1766" s="323"/>
      <c r="B1766" s="63"/>
      <c r="C1766" s="63"/>
      <c r="D1766" s="63"/>
      <c r="E1766" s="326"/>
      <c r="F1766" s="63"/>
    </row>
    <row r="1767" spans="1:6" ht="20.399999999999999">
      <c r="A1767" s="323"/>
      <c r="B1767" s="63"/>
      <c r="C1767" s="63"/>
      <c r="D1767" s="63"/>
      <c r="E1767" s="326"/>
      <c r="F1767" s="63"/>
    </row>
    <row r="1768" spans="1:6" ht="20.399999999999999">
      <c r="A1768" s="323"/>
      <c r="B1768" s="63"/>
      <c r="C1768" s="63"/>
      <c r="D1768" s="63"/>
      <c r="E1768" s="326"/>
      <c r="F1768" s="63"/>
    </row>
    <row r="1769" spans="1:6" ht="20.399999999999999">
      <c r="A1769" s="323"/>
      <c r="B1769" s="63"/>
      <c r="C1769" s="63"/>
      <c r="D1769" s="63"/>
      <c r="E1769" s="326"/>
      <c r="F1769" s="63"/>
    </row>
    <row r="1770" spans="1:6" ht="20.399999999999999">
      <c r="A1770" s="323"/>
      <c r="B1770" s="63"/>
      <c r="C1770" s="63"/>
      <c r="D1770" s="63"/>
      <c r="E1770" s="326"/>
      <c r="F1770" s="63"/>
    </row>
    <row r="1771" spans="1:6" ht="20.399999999999999">
      <c r="A1771" s="323"/>
      <c r="B1771" s="63"/>
      <c r="C1771" s="63"/>
      <c r="D1771" s="63"/>
      <c r="E1771" s="326"/>
      <c r="F1771" s="63"/>
    </row>
    <row r="1772" spans="1:6" ht="20.399999999999999">
      <c r="A1772" s="323"/>
      <c r="B1772" s="63"/>
      <c r="C1772" s="63"/>
      <c r="D1772" s="63"/>
      <c r="E1772" s="326"/>
      <c r="F1772" s="63"/>
    </row>
    <row r="1773" spans="1:6" ht="20.399999999999999">
      <c r="A1773" s="323"/>
      <c r="B1773" s="63"/>
      <c r="C1773" s="63"/>
      <c r="D1773" s="63"/>
      <c r="E1773" s="326"/>
      <c r="F1773" s="63"/>
    </row>
    <row r="1774" spans="1:6" ht="20.399999999999999">
      <c r="A1774" s="323"/>
      <c r="B1774" s="63"/>
      <c r="C1774" s="63"/>
      <c r="D1774" s="63"/>
      <c r="E1774" s="326"/>
      <c r="F1774" s="63"/>
    </row>
    <row r="1775" spans="1:6" ht="20.399999999999999">
      <c r="A1775" s="323"/>
      <c r="B1775" s="63"/>
      <c r="C1775" s="63"/>
      <c r="D1775" s="63"/>
      <c r="E1775" s="326"/>
      <c r="F1775" s="63"/>
    </row>
    <row r="1776" spans="1:6" ht="20.399999999999999">
      <c r="A1776" s="323"/>
      <c r="B1776" s="63"/>
      <c r="C1776" s="63"/>
      <c r="D1776" s="63"/>
      <c r="E1776" s="326"/>
      <c r="F1776" s="63"/>
    </row>
    <row r="1777" spans="1:6" ht="20.399999999999999">
      <c r="A1777" s="323"/>
      <c r="B1777" s="63"/>
      <c r="C1777" s="63"/>
      <c r="D1777" s="63"/>
      <c r="E1777" s="326"/>
      <c r="F1777" s="63"/>
    </row>
    <row r="1778" spans="1:6" ht="20.399999999999999">
      <c r="A1778" s="323"/>
      <c r="B1778" s="63"/>
      <c r="C1778" s="63"/>
      <c r="D1778" s="63"/>
      <c r="E1778" s="326"/>
      <c r="F1778" s="63"/>
    </row>
    <row r="1779" spans="1:6" ht="20.399999999999999">
      <c r="A1779" s="323"/>
      <c r="B1779" s="63"/>
      <c r="C1779" s="63"/>
      <c r="D1779" s="63"/>
      <c r="E1779" s="326"/>
      <c r="F1779" s="63"/>
    </row>
    <row r="1780" spans="1:6" ht="20.399999999999999">
      <c r="A1780" s="323"/>
      <c r="B1780" s="63"/>
      <c r="C1780" s="63"/>
      <c r="D1780" s="63"/>
      <c r="E1780" s="326"/>
      <c r="F1780" s="63"/>
    </row>
    <row r="1781" spans="1:6" ht="20.399999999999999">
      <c r="A1781" s="323"/>
      <c r="B1781" s="63"/>
      <c r="C1781" s="63"/>
      <c r="D1781" s="63"/>
      <c r="E1781" s="326"/>
      <c r="F1781" s="63"/>
    </row>
    <row r="1782" spans="1:6" ht="20.399999999999999">
      <c r="A1782" s="323"/>
      <c r="B1782" s="63"/>
      <c r="C1782" s="63"/>
      <c r="D1782" s="63"/>
      <c r="E1782" s="326"/>
      <c r="F1782" s="63"/>
    </row>
    <row r="1783" spans="1:6" ht="20.399999999999999">
      <c r="A1783" s="323"/>
      <c r="B1783" s="63"/>
      <c r="C1783" s="63"/>
      <c r="D1783" s="63"/>
      <c r="E1783" s="326"/>
      <c r="F1783" s="63"/>
    </row>
    <row r="1784" spans="1:6" ht="20.399999999999999">
      <c r="A1784" s="323"/>
      <c r="B1784" s="63"/>
      <c r="C1784" s="63"/>
      <c r="D1784" s="63"/>
      <c r="E1784" s="326"/>
      <c r="F1784" s="63"/>
    </row>
    <row r="1785" spans="1:6" ht="20.399999999999999">
      <c r="A1785" s="323"/>
      <c r="B1785" s="63"/>
      <c r="C1785" s="63"/>
      <c r="D1785" s="63"/>
      <c r="E1785" s="326"/>
      <c r="F1785" s="63"/>
    </row>
    <row r="1786" spans="1:6" ht="20.399999999999999">
      <c r="A1786" s="323"/>
      <c r="B1786" s="63"/>
      <c r="C1786" s="63"/>
      <c r="D1786" s="63"/>
      <c r="E1786" s="326"/>
      <c r="F1786" s="63"/>
    </row>
    <row r="1787" spans="1:6" ht="20.399999999999999">
      <c r="A1787" s="323"/>
      <c r="B1787" s="63"/>
      <c r="C1787" s="63"/>
      <c r="D1787" s="63"/>
      <c r="E1787" s="326"/>
      <c r="F1787" s="63"/>
    </row>
    <row r="1788" spans="1:6" ht="20.399999999999999">
      <c r="A1788" s="323"/>
      <c r="B1788" s="63"/>
      <c r="C1788" s="63"/>
      <c r="D1788" s="63"/>
      <c r="E1788" s="326"/>
      <c r="F1788" s="63"/>
    </row>
    <row r="1789" spans="1:6" ht="20.399999999999999">
      <c r="A1789" s="323"/>
      <c r="B1789" s="63"/>
      <c r="C1789" s="63"/>
      <c r="D1789" s="63"/>
      <c r="E1789" s="326"/>
      <c r="F1789" s="63"/>
    </row>
    <row r="1790" spans="1:6" ht="20.399999999999999">
      <c r="A1790" s="323"/>
      <c r="B1790" s="63"/>
      <c r="C1790" s="63"/>
      <c r="D1790" s="63"/>
      <c r="E1790" s="326"/>
      <c r="F1790" s="63"/>
    </row>
    <row r="1791" spans="1:6" ht="20.399999999999999">
      <c r="A1791" s="323"/>
      <c r="B1791" s="63"/>
      <c r="C1791" s="63"/>
      <c r="D1791" s="63"/>
      <c r="E1791" s="326"/>
      <c r="F1791" s="63"/>
    </row>
    <row r="1792" spans="1:6" ht="20.399999999999999">
      <c r="A1792" s="323"/>
      <c r="B1792" s="63"/>
      <c r="C1792" s="63"/>
      <c r="D1792" s="63"/>
      <c r="E1792" s="326"/>
      <c r="F1792" s="63"/>
    </row>
    <row r="1793" spans="1:6" ht="20.399999999999999">
      <c r="A1793" s="323"/>
      <c r="B1793" s="63"/>
      <c r="C1793" s="63"/>
      <c r="D1793" s="63"/>
      <c r="E1793" s="326"/>
      <c r="F1793" s="63"/>
    </row>
    <row r="1794" spans="1:6" ht="20.399999999999999">
      <c r="A1794" s="323"/>
      <c r="B1794" s="63"/>
      <c r="C1794" s="63"/>
      <c r="D1794" s="63"/>
      <c r="E1794" s="326"/>
      <c r="F1794" s="63"/>
    </row>
    <row r="1795" spans="1:6" ht="20.399999999999999">
      <c r="A1795" s="323"/>
      <c r="B1795" s="63"/>
      <c r="C1795" s="63"/>
      <c r="D1795" s="63"/>
      <c r="E1795" s="326"/>
      <c r="F1795" s="63"/>
    </row>
    <row r="1796" spans="1:6" ht="20.399999999999999">
      <c r="A1796" s="323"/>
      <c r="B1796" s="63"/>
      <c r="C1796" s="63"/>
      <c r="D1796" s="63"/>
      <c r="E1796" s="326"/>
      <c r="F1796" s="63"/>
    </row>
    <row r="1797" spans="1:6" ht="20.399999999999999">
      <c r="A1797" s="323"/>
      <c r="B1797" s="63"/>
      <c r="C1797" s="63"/>
      <c r="D1797" s="63"/>
      <c r="E1797" s="326"/>
      <c r="F1797" s="63"/>
    </row>
    <row r="1798" spans="1:6" ht="20.399999999999999">
      <c r="A1798" s="323"/>
      <c r="B1798" s="63"/>
      <c r="C1798" s="63"/>
      <c r="D1798" s="63"/>
      <c r="E1798" s="326"/>
      <c r="F1798" s="63"/>
    </row>
    <row r="1799" spans="1:6" ht="20.399999999999999">
      <c r="A1799" s="323"/>
      <c r="B1799" s="63"/>
      <c r="C1799" s="63"/>
      <c r="D1799" s="63"/>
      <c r="E1799" s="326"/>
      <c r="F1799" s="63"/>
    </row>
    <row r="1800" spans="1:6" ht="20.399999999999999">
      <c r="A1800" s="323"/>
      <c r="B1800" s="63"/>
      <c r="C1800" s="63"/>
      <c r="D1800" s="63"/>
      <c r="E1800" s="326"/>
      <c r="F1800" s="63"/>
    </row>
    <row r="1801" spans="1:6" ht="20.399999999999999">
      <c r="A1801" s="323"/>
      <c r="B1801" s="63"/>
      <c r="C1801" s="63"/>
      <c r="D1801" s="63"/>
      <c r="E1801" s="326"/>
      <c r="F1801" s="63"/>
    </row>
    <row r="1802" spans="1:6" ht="20.399999999999999">
      <c r="A1802" s="323"/>
      <c r="B1802" s="63"/>
      <c r="C1802" s="63"/>
      <c r="D1802" s="63"/>
      <c r="E1802" s="326"/>
      <c r="F1802" s="63"/>
    </row>
    <row r="1803" spans="1:6" ht="20.399999999999999">
      <c r="A1803" s="323"/>
      <c r="B1803" s="63"/>
      <c r="C1803" s="63"/>
      <c r="D1803" s="63"/>
      <c r="E1803" s="326"/>
      <c r="F1803" s="63"/>
    </row>
    <row r="1804" spans="1:6" ht="20.399999999999999">
      <c r="A1804" s="323"/>
      <c r="B1804" s="63"/>
      <c r="C1804" s="63"/>
      <c r="D1804" s="63"/>
      <c r="E1804" s="326"/>
      <c r="F1804" s="63"/>
    </row>
    <row r="1805" spans="1:6" ht="20.399999999999999">
      <c r="A1805" s="323"/>
      <c r="B1805" s="63"/>
      <c r="C1805" s="63"/>
      <c r="D1805" s="63"/>
      <c r="E1805" s="326"/>
      <c r="F1805" s="63"/>
    </row>
    <row r="1806" spans="1:6" ht="20.399999999999999">
      <c r="A1806" s="323"/>
      <c r="B1806" s="63"/>
      <c r="C1806" s="63"/>
      <c r="D1806" s="63"/>
      <c r="E1806" s="326"/>
      <c r="F1806" s="63"/>
    </row>
    <row r="1807" spans="1:6" ht="20.399999999999999">
      <c r="A1807" s="323"/>
      <c r="B1807" s="63"/>
      <c r="C1807" s="63"/>
      <c r="D1807" s="63"/>
      <c r="E1807" s="326"/>
      <c r="F1807" s="63"/>
    </row>
    <row r="1808" spans="1:6" ht="20.399999999999999">
      <c r="A1808" s="323"/>
      <c r="B1808" s="63"/>
      <c r="C1808" s="63"/>
      <c r="D1808" s="63"/>
      <c r="E1808" s="326"/>
      <c r="F1808" s="63"/>
    </row>
    <row r="1809" spans="1:6" ht="20.399999999999999">
      <c r="A1809" s="323"/>
      <c r="B1809" s="63"/>
      <c r="C1809" s="63"/>
      <c r="D1809" s="63"/>
      <c r="E1809" s="326"/>
      <c r="F1809" s="63"/>
    </row>
    <row r="1810" spans="1:6" ht="20.399999999999999">
      <c r="A1810" s="323"/>
      <c r="B1810" s="63"/>
      <c r="C1810" s="63"/>
      <c r="D1810" s="63"/>
      <c r="E1810" s="326"/>
      <c r="F1810" s="63"/>
    </row>
    <row r="1811" spans="1:6" ht="20.399999999999999">
      <c r="A1811" s="323"/>
      <c r="B1811" s="63"/>
      <c r="C1811" s="63"/>
      <c r="D1811" s="63"/>
      <c r="E1811" s="326"/>
      <c r="F1811" s="63"/>
    </row>
    <row r="1812" spans="1:6" ht="20.399999999999999">
      <c r="A1812" s="323"/>
      <c r="B1812" s="63"/>
      <c r="C1812" s="63"/>
      <c r="D1812" s="63"/>
      <c r="E1812" s="326"/>
      <c r="F1812" s="63"/>
    </row>
    <row r="1813" spans="1:6" ht="20.399999999999999">
      <c r="A1813" s="323"/>
      <c r="B1813" s="63"/>
      <c r="C1813" s="63"/>
      <c r="D1813" s="63"/>
      <c r="E1813" s="326"/>
      <c r="F1813" s="63"/>
    </row>
    <row r="1814" spans="1:6" ht="20.399999999999999">
      <c r="A1814" s="323"/>
      <c r="B1814" s="63"/>
      <c r="C1814" s="63"/>
      <c r="D1814" s="63"/>
      <c r="E1814" s="326"/>
      <c r="F1814" s="63"/>
    </row>
    <row r="1815" spans="1:6" ht="20.399999999999999">
      <c r="A1815" s="323"/>
      <c r="B1815" s="63"/>
      <c r="C1815" s="63"/>
      <c r="D1815" s="63"/>
      <c r="E1815" s="326"/>
      <c r="F1815" s="63"/>
    </row>
    <row r="1816" spans="1:6" ht="20.399999999999999">
      <c r="A1816" s="323"/>
      <c r="B1816" s="63"/>
      <c r="C1816" s="63"/>
      <c r="D1816" s="63"/>
      <c r="E1816" s="326"/>
      <c r="F1816" s="63"/>
    </row>
    <row r="1817" spans="1:6" ht="20.399999999999999">
      <c r="A1817" s="323"/>
      <c r="B1817" s="63"/>
      <c r="C1817" s="63"/>
      <c r="D1817" s="63"/>
      <c r="E1817" s="326"/>
      <c r="F1817" s="63"/>
    </row>
    <row r="1818" spans="1:6" ht="20.399999999999999">
      <c r="A1818" s="323"/>
      <c r="B1818" s="63"/>
      <c r="C1818" s="63"/>
      <c r="D1818" s="63"/>
      <c r="E1818" s="326"/>
      <c r="F1818" s="63"/>
    </row>
    <row r="1819" spans="1:6" ht="20.399999999999999">
      <c r="A1819" s="323"/>
      <c r="B1819" s="63"/>
      <c r="C1819" s="63"/>
      <c r="D1819" s="63"/>
      <c r="E1819" s="326"/>
      <c r="F1819" s="63"/>
    </row>
    <row r="1820" spans="1:6" ht="20.399999999999999">
      <c r="A1820" s="323"/>
      <c r="B1820" s="63"/>
      <c r="C1820" s="63"/>
      <c r="D1820" s="63"/>
      <c r="E1820" s="326"/>
      <c r="F1820" s="63"/>
    </row>
    <row r="1821" spans="1:6" ht="20.399999999999999">
      <c r="A1821" s="323"/>
      <c r="B1821" s="63"/>
      <c r="C1821" s="63"/>
      <c r="D1821" s="63"/>
      <c r="E1821" s="326"/>
      <c r="F1821" s="63"/>
    </row>
    <row r="1822" spans="1:6" ht="20.399999999999999">
      <c r="A1822" s="323"/>
      <c r="B1822" s="63"/>
      <c r="C1822" s="63"/>
      <c r="D1822" s="63"/>
      <c r="E1822" s="326"/>
      <c r="F1822" s="63"/>
    </row>
    <row r="1823" spans="1:6" ht="20.399999999999999">
      <c r="A1823" s="323"/>
      <c r="B1823" s="63"/>
      <c r="C1823" s="63"/>
      <c r="D1823" s="63"/>
      <c r="E1823" s="326"/>
      <c r="F1823" s="63"/>
    </row>
    <row r="1824" spans="1:6" ht="20.399999999999999">
      <c r="A1824" s="323"/>
      <c r="B1824" s="63"/>
      <c r="C1824" s="63"/>
      <c r="D1824" s="63"/>
      <c r="E1824" s="326"/>
      <c r="F1824" s="63"/>
    </row>
    <row r="1825" spans="1:6" ht="20.399999999999999">
      <c r="A1825" s="323"/>
      <c r="B1825" s="63"/>
      <c r="C1825" s="63"/>
      <c r="D1825" s="63"/>
      <c r="E1825" s="326"/>
      <c r="F1825" s="63"/>
    </row>
    <row r="1826" spans="1:6" ht="20.399999999999999">
      <c r="A1826" s="323"/>
      <c r="B1826" s="63"/>
      <c r="C1826" s="63"/>
      <c r="D1826" s="63"/>
      <c r="E1826" s="326"/>
      <c r="F1826" s="63"/>
    </row>
    <row r="1827" spans="1:6" ht="20.399999999999999">
      <c r="A1827" s="323"/>
      <c r="B1827" s="63"/>
      <c r="C1827" s="63"/>
      <c r="D1827" s="63"/>
      <c r="E1827" s="326"/>
      <c r="F1827" s="63"/>
    </row>
    <row r="1828" spans="1:6" ht="20.399999999999999">
      <c r="A1828" s="323"/>
      <c r="B1828" s="63"/>
      <c r="C1828" s="63"/>
      <c r="D1828" s="63"/>
      <c r="E1828" s="326"/>
      <c r="F1828" s="63"/>
    </row>
    <row r="1829" spans="1:6" ht="20.399999999999999">
      <c r="A1829" s="323"/>
      <c r="B1829" s="63"/>
      <c r="C1829" s="63"/>
      <c r="D1829" s="63"/>
      <c r="E1829" s="326"/>
      <c r="F1829" s="63"/>
    </row>
    <row r="1830" spans="1:6" ht="20.399999999999999">
      <c r="A1830" s="323"/>
      <c r="B1830" s="63"/>
      <c r="C1830" s="63"/>
      <c r="D1830" s="63"/>
      <c r="E1830" s="326"/>
      <c r="F1830" s="63"/>
    </row>
    <row r="1831" spans="1:6" ht="20.399999999999999">
      <c r="A1831" s="323"/>
      <c r="B1831" s="63"/>
      <c r="C1831" s="63"/>
      <c r="D1831" s="63"/>
      <c r="E1831" s="326"/>
      <c r="F1831" s="63"/>
    </row>
    <row r="1832" spans="1:6" ht="20.399999999999999">
      <c r="A1832" s="323"/>
      <c r="B1832" s="63"/>
      <c r="C1832" s="63"/>
      <c r="D1832" s="63"/>
      <c r="E1832" s="326"/>
      <c r="F1832" s="63"/>
    </row>
    <row r="1833" spans="1:6" ht="20.399999999999999">
      <c r="A1833" s="323"/>
      <c r="B1833" s="63"/>
      <c r="C1833" s="63"/>
      <c r="D1833" s="63"/>
      <c r="E1833" s="326"/>
      <c r="F1833" s="63"/>
    </row>
    <row r="1834" spans="1:6" ht="20.399999999999999">
      <c r="A1834" s="323"/>
      <c r="B1834" s="63"/>
      <c r="C1834" s="63"/>
      <c r="D1834" s="63"/>
      <c r="E1834" s="326"/>
      <c r="F1834" s="63"/>
    </row>
    <row r="1835" spans="1:6" ht="20.399999999999999">
      <c r="A1835" s="323"/>
      <c r="B1835" s="63"/>
      <c r="C1835" s="63"/>
      <c r="D1835" s="63"/>
      <c r="E1835" s="326"/>
      <c r="F1835" s="63"/>
    </row>
    <row r="1836" spans="1:6" ht="20.399999999999999">
      <c r="A1836" s="323"/>
      <c r="B1836" s="63"/>
      <c r="C1836" s="63"/>
      <c r="D1836" s="63"/>
      <c r="E1836" s="326"/>
      <c r="F1836" s="63"/>
    </row>
    <row r="1837" spans="1:6" ht="20.399999999999999">
      <c r="A1837" s="323"/>
      <c r="B1837" s="63"/>
      <c r="C1837" s="63"/>
      <c r="D1837" s="63"/>
      <c r="E1837" s="326"/>
      <c r="F1837" s="63"/>
    </row>
    <row r="1838" spans="1:6" ht="20.399999999999999">
      <c r="A1838" s="323"/>
      <c r="B1838" s="63"/>
      <c r="C1838" s="63"/>
      <c r="D1838" s="63"/>
      <c r="E1838" s="326"/>
      <c r="F1838" s="63"/>
    </row>
    <row r="1839" spans="1:6" ht="20.399999999999999">
      <c r="A1839" s="323"/>
      <c r="B1839" s="63"/>
      <c r="C1839" s="63"/>
      <c r="D1839" s="63"/>
      <c r="E1839" s="326"/>
      <c r="F1839" s="63"/>
    </row>
    <row r="1840" spans="1:6" ht="20.399999999999999">
      <c r="A1840" s="323"/>
      <c r="B1840" s="63"/>
      <c r="C1840" s="63"/>
      <c r="D1840" s="63"/>
      <c r="E1840" s="326"/>
      <c r="F1840" s="63"/>
    </row>
    <row r="1841" spans="1:6" ht="20.399999999999999">
      <c r="A1841" s="323"/>
      <c r="B1841" s="63"/>
      <c r="C1841" s="63"/>
      <c r="D1841" s="63"/>
      <c r="E1841" s="326"/>
      <c r="F1841" s="63"/>
    </row>
    <row r="1842" spans="1:6" ht="20.399999999999999">
      <c r="A1842" s="323"/>
      <c r="B1842" s="63"/>
      <c r="C1842" s="63"/>
      <c r="D1842" s="63"/>
      <c r="E1842" s="326"/>
      <c r="F1842" s="63"/>
    </row>
    <row r="1843" spans="1:6" ht="20.399999999999999">
      <c r="A1843" s="323"/>
      <c r="B1843" s="63"/>
      <c r="C1843" s="63"/>
      <c r="D1843" s="63"/>
      <c r="E1843" s="326"/>
      <c r="F1843" s="63"/>
    </row>
    <row r="1844" spans="1:6" ht="20.399999999999999">
      <c r="A1844" s="323"/>
      <c r="B1844" s="63"/>
      <c r="C1844" s="63"/>
      <c r="D1844" s="63"/>
      <c r="E1844" s="326"/>
      <c r="F1844" s="63"/>
    </row>
    <row r="1845" spans="1:6" ht="20.399999999999999">
      <c r="A1845" s="323"/>
      <c r="B1845" s="63"/>
      <c r="C1845" s="63"/>
      <c r="D1845" s="63"/>
      <c r="E1845" s="326"/>
      <c r="F1845" s="63"/>
    </row>
    <row r="1846" spans="1:6" ht="20.399999999999999">
      <c r="A1846" s="323"/>
      <c r="B1846" s="63"/>
      <c r="C1846" s="63"/>
      <c r="D1846" s="63"/>
      <c r="E1846" s="326"/>
      <c r="F1846" s="63"/>
    </row>
    <row r="1847" spans="1:6" ht="20.399999999999999">
      <c r="A1847" s="323"/>
      <c r="B1847" s="63"/>
      <c r="C1847" s="63"/>
      <c r="D1847" s="63"/>
      <c r="E1847" s="326"/>
      <c r="F1847" s="63"/>
    </row>
    <row r="1848" spans="1:6" ht="20.399999999999999">
      <c r="A1848" s="323"/>
      <c r="B1848" s="63"/>
      <c r="C1848" s="63"/>
      <c r="D1848" s="63"/>
      <c r="E1848" s="326"/>
      <c r="F1848" s="63"/>
    </row>
    <row r="1849" spans="1:6" ht="20.399999999999999">
      <c r="A1849" s="323"/>
      <c r="B1849" s="63"/>
      <c r="C1849" s="63"/>
      <c r="D1849" s="63"/>
      <c r="E1849" s="326"/>
      <c r="F1849" s="63"/>
    </row>
    <row r="1850" spans="1:6" ht="20.399999999999999">
      <c r="A1850" s="323"/>
      <c r="B1850" s="63"/>
      <c r="C1850" s="63"/>
      <c r="D1850" s="63"/>
      <c r="E1850" s="326"/>
      <c r="F1850" s="63"/>
    </row>
    <row r="1851" spans="1:6" ht="20.399999999999999">
      <c r="A1851" s="323"/>
      <c r="B1851" s="63"/>
      <c r="C1851" s="63"/>
      <c r="D1851" s="63"/>
      <c r="E1851" s="326"/>
      <c r="F1851" s="63"/>
    </row>
    <row r="1852" spans="1:6" ht="20.399999999999999">
      <c r="A1852" s="323"/>
      <c r="B1852" s="63"/>
      <c r="C1852" s="63"/>
      <c r="D1852" s="63"/>
      <c r="E1852" s="326"/>
      <c r="F1852" s="63"/>
    </row>
    <row r="1853" spans="1:6" ht="20.399999999999999">
      <c r="A1853" s="323"/>
      <c r="B1853" s="63"/>
      <c r="C1853" s="63"/>
      <c r="D1853" s="63"/>
      <c r="E1853" s="326"/>
      <c r="F1853" s="63"/>
    </row>
    <row r="1854" spans="1:6" ht="20.399999999999999">
      <c r="A1854" s="323"/>
      <c r="B1854" s="63"/>
      <c r="C1854" s="63"/>
      <c r="D1854" s="63"/>
      <c r="E1854" s="326"/>
      <c r="F1854" s="63"/>
    </row>
    <row r="1855" spans="1:6" ht="20.399999999999999">
      <c r="A1855" s="323"/>
      <c r="B1855" s="63"/>
      <c r="C1855" s="63"/>
      <c r="D1855" s="63"/>
      <c r="E1855" s="326"/>
      <c r="F1855" s="63"/>
    </row>
    <row r="1856" spans="1:6" ht="20.399999999999999">
      <c r="A1856" s="323"/>
      <c r="B1856" s="63"/>
      <c r="C1856" s="63"/>
      <c r="D1856" s="63"/>
      <c r="E1856" s="326"/>
      <c r="F1856" s="63"/>
    </row>
    <row r="1857" spans="1:6" ht="20.399999999999999">
      <c r="A1857" s="323"/>
      <c r="B1857" s="63"/>
      <c r="C1857" s="63"/>
      <c r="D1857" s="63"/>
      <c r="E1857" s="326"/>
      <c r="F1857" s="63"/>
    </row>
    <row r="1858" spans="1:6" ht="20.399999999999999">
      <c r="A1858" s="323"/>
      <c r="B1858" s="63"/>
      <c r="C1858" s="63"/>
      <c r="D1858" s="63"/>
      <c r="E1858" s="326"/>
      <c r="F1858" s="63"/>
    </row>
    <row r="1859" spans="1:6" ht="20.399999999999999">
      <c r="A1859" s="323"/>
      <c r="B1859" s="63"/>
      <c r="C1859" s="63"/>
      <c r="D1859" s="63"/>
      <c r="E1859" s="326"/>
      <c r="F1859" s="63"/>
    </row>
    <row r="1860" spans="1:6" ht="20.399999999999999">
      <c r="A1860" s="323"/>
      <c r="B1860" s="63"/>
      <c r="C1860" s="63"/>
      <c r="D1860" s="63"/>
      <c r="E1860" s="326"/>
      <c r="F1860" s="63"/>
    </row>
    <row r="1861" spans="1:6" ht="20.399999999999999">
      <c r="A1861" s="323"/>
      <c r="B1861" s="63"/>
      <c r="C1861" s="63"/>
      <c r="D1861" s="63"/>
      <c r="E1861" s="326"/>
      <c r="F1861" s="63"/>
    </row>
    <row r="1862" spans="1:6" ht="20.399999999999999">
      <c r="A1862" s="323"/>
      <c r="B1862" s="63"/>
      <c r="C1862" s="63"/>
      <c r="D1862" s="63"/>
      <c r="E1862" s="326"/>
      <c r="F1862" s="63"/>
    </row>
    <row r="1863" spans="1:6" ht="20.399999999999999">
      <c r="A1863" s="323"/>
      <c r="B1863" s="63"/>
      <c r="C1863" s="63"/>
      <c r="D1863" s="63"/>
      <c r="E1863" s="326"/>
      <c r="F1863" s="63"/>
    </row>
    <row r="1864" spans="1:6" ht="20.399999999999999">
      <c r="A1864" s="323"/>
      <c r="B1864" s="63"/>
      <c r="C1864" s="63"/>
      <c r="D1864" s="63"/>
      <c r="E1864" s="326"/>
      <c r="F1864" s="63"/>
    </row>
    <row r="1865" spans="1:6" ht="20.399999999999999">
      <c r="A1865" s="323"/>
      <c r="B1865" s="63"/>
      <c r="C1865" s="63"/>
      <c r="D1865" s="63"/>
      <c r="E1865" s="326"/>
      <c r="F1865" s="63"/>
    </row>
    <row r="1866" spans="1:6" ht="20.399999999999999">
      <c r="A1866" s="323"/>
      <c r="B1866" s="63"/>
      <c r="C1866" s="63"/>
      <c r="D1866" s="63"/>
      <c r="E1866" s="326"/>
      <c r="F1866" s="63"/>
    </row>
    <row r="1867" spans="1:6" ht="20.399999999999999">
      <c r="A1867" s="323"/>
      <c r="B1867" s="63"/>
      <c r="C1867" s="63"/>
      <c r="D1867" s="63"/>
      <c r="E1867" s="326"/>
      <c r="F1867" s="63"/>
    </row>
    <row r="1868" spans="1:6" ht="20.399999999999999">
      <c r="A1868" s="323"/>
      <c r="B1868" s="63"/>
      <c r="C1868" s="63"/>
      <c r="D1868" s="63"/>
      <c r="E1868" s="326"/>
      <c r="F1868" s="63"/>
    </row>
    <row r="1869" spans="1:6" ht="20.399999999999999">
      <c r="A1869" s="323"/>
      <c r="B1869" s="63"/>
      <c r="C1869" s="63"/>
      <c r="D1869" s="63"/>
      <c r="E1869" s="326"/>
      <c r="F1869" s="63"/>
    </row>
    <row r="1870" spans="1:6" ht="20.399999999999999">
      <c r="A1870" s="323"/>
      <c r="B1870" s="63"/>
      <c r="C1870" s="63"/>
      <c r="D1870" s="63"/>
      <c r="E1870" s="326"/>
      <c r="F1870" s="63"/>
    </row>
    <row r="1871" spans="1:6" ht="20.399999999999999">
      <c r="A1871" s="323"/>
      <c r="B1871" s="63"/>
      <c r="C1871" s="63"/>
      <c r="D1871" s="63"/>
      <c r="E1871" s="326"/>
      <c r="F1871" s="63"/>
    </row>
    <row r="1872" spans="1:6" ht="20.399999999999999">
      <c r="A1872" s="323"/>
      <c r="B1872" s="63"/>
      <c r="C1872" s="63"/>
      <c r="D1872" s="63"/>
      <c r="E1872" s="326"/>
      <c r="F1872" s="63"/>
    </row>
    <row r="1873" spans="1:6" ht="20.399999999999999">
      <c r="A1873" s="323"/>
      <c r="B1873" s="63"/>
      <c r="C1873" s="63"/>
      <c r="D1873" s="63"/>
      <c r="E1873" s="326"/>
      <c r="F1873" s="63"/>
    </row>
    <row r="1874" spans="1:6" ht="20.399999999999999">
      <c r="A1874" s="323"/>
      <c r="B1874" s="63"/>
      <c r="C1874" s="63"/>
      <c r="D1874" s="63"/>
      <c r="E1874" s="326"/>
      <c r="F1874" s="63"/>
    </row>
    <row r="1875" spans="1:6" ht="20.399999999999999">
      <c r="A1875" s="323"/>
      <c r="B1875" s="63"/>
      <c r="C1875" s="63"/>
      <c r="D1875" s="63"/>
      <c r="E1875" s="326"/>
      <c r="F1875" s="63"/>
    </row>
    <row r="1876" spans="1:6" ht="20.399999999999999">
      <c r="A1876" s="323"/>
      <c r="B1876" s="63"/>
      <c r="C1876" s="63"/>
      <c r="D1876" s="63"/>
      <c r="E1876" s="326"/>
      <c r="F1876" s="63"/>
    </row>
    <row r="1877" spans="1:6" ht="20.399999999999999">
      <c r="A1877" s="323"/>
      <c r="B1877" s="63"/>
      <c r="C1877" s="63"/>
      <c r="D1877" s="63"/>
      <c r="E1877" s="326"/>
      <c r="F1877" s="63"/>
    </row>
    <row r="1878" spans="1:6" ht="20.399999999999999">
      <c r="A1878" s="323"/>
      <c r="B1878" s="63"/>
      <c r="C1878" s="63"/>
      <c r="D1878" s="63"/>
      <c r="E1878" s="326"/>
      <c r="F1878" s="63"/>
    </row>
    <row r="1879" spans="1:6" ht="20.399999999999999">
      <c r="A1879" s="323"/>
      <c r="B1879" s="63"/>
      <c r="C1879" s="63"/>
      <c r="D1879" s="63"/>
      <c r="E1879" s="326"/>
      <c r="F1879" s="63"/>
    </row>
    <row r="1880" spans="1:6" ht="20.399999999999999">
      <c r="A1880" s="323"/>
      <c r="B1880" s="63"/>
      <c r="C1880" s="63"/>
      <c r="D1880" s="63"/>
      <c r="E1880" s="326"/>
      <c r="F1880" s="63"/>
    </row>
    <row r="1881" spans="1:6" ht="20.399999999999999">
      <c r="A1881" s="323"/>
      <c r="B1881" s="63"/>
      <c r="C1881" s="63"/>
      <c r="D1881" s="63"/>
      <c r="E1881" s="326"/>
      <c r="F1881" s="63"/>
    </row>
    <row r="1882" spans="1:6" ht="20.399999999999999">
      <c r="A1882" s="323"/>
      <c r="B1882" s="63"/>
      <c r="C1882" s="63"/>
      <c r="D1882" s="63"/>
      <c r="E1882" s="326"/>
      <c r="F1882" s="63"/>
    </row>
    <row r="1883" spans="1:6" ht="20.399999999999999">
      <c r="A1883" s="323"/>
      <c r="B1883" s="63"/>
      <c r="C1883" s="63"/>
      <c r="D1883" s="63"/>
      <c r="E1883" s="326"/>
      <c r="F1883" s="63"/>
    </row>
    <row r="1884" spans="1:6" ht="20.399999999999999">
      <c r="A1884" s="323"/>
      <c r="B1884" s="63"/>
      <c r="C1884" s="63"/>
      <c r="D1884" s="63"/>
      <c r="E1884" s="326"/>
      <c r="F1884" s="63"/>
    </row>
    <row r="1885" spans="1:6" ht="20.399999999999999">
      <c r="A1885" s="323"/>
      <c r="B1885" s="63"/>
      <c r="C1885" s="63"/>
      <c r="D1885" s="63"/>
      <c r="E1885" s="326"/>
      <c r="F1885" s="63"/>
    </row>
    <row r="1886" spans="1:6" ht="20.399999999999999">
      <c r="A1886" s="323"/>
      <c r="B1886" s="63"/>
      <c r="C1886" s="63"/>
      <c r="D1886" s="63"/>
      <c r="E1886" s="326"/>
      <c r="F1886" s="63"/>
    </row>
    <row r="1887" spans="1:6" ht="20.399999999999999">
      <c r="A1887" s="323"/>
      <c r="B1887" s="63"/>
      <c r="C1887" s="63"/>
      <c r="D1887" s="63"/>
      <c r="E1887" s="326"/>
      <c r="F1887" s="63"/>
    </row>
    <row r="1888" spans="1:6" ht="20.399999999999999">
      <c r="A1888" s="323"/>
      <c r="B1888" s="63"/>
      <c r="C1888" s="63"/>
      <c r="D1888" s="63"/>
      <c r="E1888" s="326"/>
      <c r="F1888" s="63"/>
    </row>
    <row r="1889" spans="1:6" ht="20.399999999999999">
      <c r="A1889" s="323"/>
      <c r="B1889" s="63"/>
      <c r="C1889" s="63"/>
      <c r="D1889" s="63"/>
      <c r="E1889" s="326"/>
      <c r="F1889" s="63"/>
    </row>
    <row r="1890" spans="1:6" ht="20.399999999999999">
      <c r="A1890" s="323"/>
      <c r="B1890" s="63"/>
      <c r="C1890" s="63"/>
      <c r="D1890" s="63"/>
      <c r="E1890" s="326"/>
      <c r="F1890" s="63"/>
    </row>
    <row r="1891" spans="1:6" ht="20.399999999999999">
      <c r="A1891" s="323"/>
      <c r="B1891" s="63"/>
      <c r="C1891" s="63"/>
      <c r="D1891" s="63"/>
      <c r="E1891" s="326"/>
      <c r="F1891" s="63"/>
    </row>
    <row r="1892" spans="1:6" ht="20.399999999999999">
      <c r="A1892" s="323"/>
      <c r="B1892" s="63"/>
      <c r="C1892" s="63"/>
      <c r="D1892" s="63"/>
      <c r="E1892" s="326"/>
      <c r="F1892" s="63"/>
    </row>
    <row r="1893" spans="1:6" ht="20.399999999999999">
      <c r="A1893" s="323"/>
      <c r="B1893" s="63"/>
      <c r="C1893" s="63"/>
      <c r="D1893" s="63"/>
      <c r="E1893" s="326"/>
      <c r="F1893" s="63"/>
    </row>
    <row r="1894" spans="1:6" ht="20.399999999999999">
      <c r="A1894" s="323"/>
      <c r="B1894" s="63"/>
      <c r="C1894" s="63"/>
      <c r="D1894" s="63"/>
      <c r="E1894" s="326"/>
      <c r="F1894" s="63"/>
    </row>
    <row r="1895" spans="1:6" ht="20.399999999999999">
      <c r="A1895" s="323"/>
      <c r="B1895" s="63"/>
      <c r="C1895" s="63"/>
      <c r="D1895" s="63"/>
      <c r="E1895" s="326"/>
      <c r="F1895" s="63"/>
    </row>
    <row r="1896" spans="1:6" ht="20.399999999999999">
      <c r="A1896" s="323"/>
      <c r="B1896" s="63"/>
      <c r="C1896" s="63"/>
      <c r="D1896" s="63"/>
      <c r="E1896" s="326"/>
      <c r="F1896" s="63"/>
    </row>
    <row r="1897" spans="1:6" ht="20.399999999999999">
      <c r="A1897" s="323"/>
      <c r="B1897" s="63"/>
      <c r="C1897" s="63"/>
      <c r="D1897" s="63"/>
      <c r="E1897" s="326"/>
      <c r="F1897" s="63"/>
    </row>
    <row r="1898" spans="1:6" ht="20.399999999999999">
      <c r="A1898" s="323"/>
      <c r="B1898" s="63"/>
      <c r="C1898" s="63"/>
      <c r="D1898" s="63"/>
      <c r="E1898" s="326"/>
      <c r="F1898" s="63"/>
    </row>
    <row r="1899" spans="1:6" ht="20.399999999999999">
      <c r="A1899" s="323"/>
      <c r="B1899" s="63"/>
      <c r="C1899" s="63"/>
      <c r="D1899" s="63"/>
      <c r="E1899" s="326"/>
      <c r="F1899" s="63"/>
    </row>
    <row r="1900" spans="1:6" ht="20.399999999999999">
      <c r="A1900" s="323"/>
      <c r="B1900" s="63"/>
      <c r="C1900" s="63"/>
      <c r="D1900" s="63"/>
      <c r="E1900" s="326"/>
      <c r="F1900" s="63"/>
    </row>
    <row r="1901" spans="1:6" ht="20.399999999999999">
      <c r="A1901" s="323"/>
      <c r="B1901" s="63"/>
      <c r="C1901" s="63"/>
      <c r="D1901" s="63"/>
      <c r="E1901" s="326"/>
      <c r="F1901" s="63"/>
    </row>
    <row r="1902" spans="1:6" ht="20.399999999999999">
      <c r="A1902" s="323"/>
      <c r="B1902" s="63"/>
      <c r="C1902" s="63"/>
      <c r="D1902" s="63"/>
      <c r="E1902" s="326"/>
      <c r="F1902" s="63"/>
    </row>
    <row r="1903" spans="1:6" ht="20.399999999999999">
      <c r="A1903" s="323"/>
      <c r="B1903" s="63"/>
      <c r="C1903" s="63"/>
      <c r="D1903" s="63"/>
      <c r="E1903" s="326"/>
      <c r="F1903" s="63"/>
    </row>
    <row r="1904" spans="1:6" ht="20.399999999999999">
      <c r="A1904" s="323"/>
      <c r="B1904" s="63"/>
      <c r="C1904" s="63"/>
      <c r="D1904" s="63"/>
      <c r="E1904" s="326"/>
      <c r="F1904" s="63"/>
    </row>
    <row r="1905" spans="1:6" ht="20.399999999999999">
      <c r="A1905" s="323"/>
      <c r="B1905" s="63"/>
      <c r="C1905" s="63"/>
      <c r="D1905" s="63"/>
      <c r="E1905" s="326"/>
      <c r="F1905" s="63"/>
    </row>
    <row r="1906" spans="1:6" ht="20.399999999999999">
      <c r="A1906" s="323"/>
      <c r="B1906" s="63"/>
      <c r="C1906" s="63"/>
      <c r="D1906" s="63"/>
      <c r="E1906" s="326"/>
      <c r="F1906" s="63"/>
    </row>
    <row r="1907" spans="1:6" ht="20.399999999999999">
      <c r="A1907" s="323"/>
      <c r="B1907" s="63"/>
      <c r="C1907" s="63"/>
      <c r="D1907" s="63"/>
      <c r="E1907" s="326"/>
      <c r="F1907" s="63"/>
    </row>
    <row r="1908" spans="1:6" ht="20.399999999999999">
      <c r="A1908" s="323"/>
      <c r="B1908" s="63"/>
      <c r="C1908" s="63"/>
      <c r="D1908" s="63"/>
      <c r="E1908" s="326"/>
      <c r="F1908" s="63"/>
    </row>
    <row r="1909" spans="1:6" ht="20.399999999999999">
      <c r="A1909" s="323"/>
      <c r="B1909" s="63"/>
      <c r="C1909" s="63"/>
      <c r="D1909" s="63"/>
      <c r="E1909" s="326"/>
      <c r="F1909" s="63"/>
    </row>
    <row r="1910" spans="1:6" ht="20.399999999999999">
      <c r="A1910" s="323"/>
      <c r="B1910" s="63"/>
      <c r="C1910" s="63"/>
      <c r="D1910" s="63"/>
      <c r="E1910" s="326"/>
      <c r="F1910" s="63"/>
    </row>
    <row r="1911" spans="1:6" ht="20.399999999999999">
      <c r="A1911" s="323"/>
      <c r="B1911" s="63"/>
      <c r="C1911" s="63"/>
      <c r="D1911" s="63"/>
      <c r="E1911" s="326"/>
      <c r="F1911" s="63"/>
    </row>
    <row r="1912" spans="1:6" ht="20.399999999999999">
      <c r="A1912" s="323"/>
      <c r="B1912" s="63"/>
      <c r="C1912" s="63"/>
      <c r="D1912" s="63"/>
      <c r="E1912" s="326"/>
      <c r="F1912" s="63"/>
    </row>
    <row r="1913" spans="1:6" ht="20.399999999999999">
      <c r="A1913" s="323"/>
      <c r="B1913" s="63"/>
      <c r="C1913" s="63"/>
      <c r="D1913" s="63"/>
      <c r="E1913" s="326"/>
      <c r="F1913" s="63"/>
    </row>
    <row r="1914" spans="1:6" ht="20.399999999999999">
      <c r="A1914" s="323"/>
      <c r="B1914" s="63"/>
      <c r="C1914" s="63"/>
      <c r="D1914" s="63"/>
      <c r="E1914" s="326"/>
      <c r="F1914" s="63"/>
    </row>
    <row r="1915" spans="1:6" ht="20.399999999999999">
      <c r="A1915" s="323"/>
      <c r="B1915" s="63"/>
      <c r="C1915" s="63"/>
      <c r="D1915" s="63"/>
      <c r="E1915" s="326"/>
      <c r="F1915" s="63"/>
    </row>
    <row r="1916" spans="1:6" ht="20.399999999999999">
      <c r="A1916" s="323"/>
      <c r="B1916" s="63"/>
      <c r="C1916" s="63"/>
      <c r="D1916" s="63"/>
      <c r="E1916" s="326"/>
      <c r="F1916" s="63"/>
    </row>
    <row r="1917" spans="1:6" ht="20.399999999999999">
      <c r="A1917" s="323"/>
      <c r="B1917" s="63"/>
      <c r="C1917" s="63"/>
      <c r="D1917" s="63"/>
      <c r="E1917" s="326"/>
      <c r="F1917" s="63"/>
    </row>
    <row r="1918" spans="1:6" ht="20.399999999999999">
      <c r="A1918" s="323"/>
      <c r="B1918" s="63"/>
      <c r="C1918" s="63"/>
      <c r="D1918" s="63"/>
      <c r="E1918" s="326"/>
      <c r="F1918" s="63"/>
    </row>
    <row r="1919" spans="1:6" ht="20.399999999999999">
      <c r="A1919" s="323"/>
      <c r="B1919" s="63"/>
      <c r="C1919" s="63"/>
      <c r="D1919" s="63"/>
      <c r="E1919" s="326"/>
      <c r="F1919" s="63"/>
    </row>
    <row r="1920" spans="1:6" ht="20.399999999999999">
      <c r="A1920" s="323"/>
      <c r="B1920" s="63"/>
      <c r="C1920" s="63"/>
      <c r="D1920" s="63"/>
      <c r="E1920" s="326"/>
      <c r="F1920" s="63"/>
    </row>
    <row r="1921" spans="1:6" ht="20.399999999999999">
      <c r="A1921" s="323"/>
      <c r="B1921" s="63"/>
      <c r="C1921" s="63"/>
      <c r="D1921" s="63"/>
      <c r="E1921" s="326"/>
      <c r="F1921" s="63"/>
    </row>
    <row r="1922" spans="1:6" ht="20.399999999999999">
      <c r="A1922" s="323"/>
      <c r="B1922" s="63"/>
      <c r="C1922" s="63"/>
      <c r="D1922" s="63"/>
      <c r="E1922" s="326"/>
      <c r="F1922" s="63"/>
    </row>
    <row r="1923" spans="1:6" ht="20.399999999999999">
      <c r="A1923" s="323"/>
      <c r="B1923" s="63"/>
      <c r="C1923" s="63"/>
      <c r="D1923" s="63"/>
      <c r="E1923" s="326"/>
      <c r="F1923" s="63"/>
    </row>
    <row r="1924" spans="1:6" ht="20.399999999999999">
      <c r="A1924" s="323"/>
      <c r="B1924" s="63"/>
      <c r="C1924" s="63"/>
      <c r="D1924" s="63"/>
      <c r="E1924" s="326"/>
      <c r="F1924" s="63"/>
    </row>
    <row r="1925" spans="1:6" ht="20.399999999999999">
      <c r="A1925" s="323"/>
      <c r="B1925" s="63"/>
      <c r="C1925" s="63"/>
      <c r="D1925" s="63"/>
      <c r="E1925" s="326"/>
      <c r="F1925" s="63"/>
    </row>
    <row r="1926" spans="1:6" ht="20.399999999999999">
      <c r="A1926" s="323"/>
      <c r="B1926" s="63"/>
      <c r="C1926" s="63"/>
      <c r="D1926" s="63"/>
      <c r="E1926" s="326"/>
      <c r="F1926" s="63"/>
    </row>
    <row r="1927" spans="1:6" ht="20.399999999999999">
      <c r="A1927" s="323"/>
      <c r="B1927" s="63"/>
      <c r="C1927" s="63"/>
      <c r="D1927" s="63"/>
      <c r="E1927" s="326"/>
      <c r="F1927" s="63"/>
    </row>
    <row r="1928" spans="1:6" ht="20.399999999999999">
      <c r="A1928" s="323"/>
      <c r="B1928" s="63"/>
      <c r="C1928" s="63"/>
      <c r="D1928" s="63"/>
      <c r="E1928" s="326"/>
      <c r="F1928" s="63"/>
    </row>
    <row r="1929" spans="1:6" ht="20.399999999999999">
      <c r="A1929" s="323"/>
      <c r="B1929" s="63"/>
      <c r="C1929" s="63"/>
      <c r="D1929" s="63"/>
      <c r="E1929" s="326"/>
      <c r="F1929" s="63"/>
    </row>
    <row r="1930" spans="1:6" ht="20.399999999999999">
      <c r="A1930" s="323"/>
      <c r="B1930" s="63"/>
      <c r="C1930" s="63"/>
      <c r="D1930" s="63"/>
      <c r="E1930" s="326"/>
      <c r="F1930" s="63"/>
    </row>
    <row r="1931" spans="1:6" ht="20.399999999999999">
      <c r="A1931" s="323"/>
      <c r="B1931" s="63"/>
      <c r="C1931" s="63"/>
      <c r="D1931" s="63"/>
      <c r="E1931" s="326"/>
      <c r="F1931" s="63"/>
    </row>
    <row r="1932" spans="1:6" ht="20.399999999999999">
      <c r="A1932" s="323"/>
      <c r="B1932" s="63"/>
      <c r="C1932" s="63"/>
      <c r="D1932" s="63"/>
      <c r="E1932" s="326"/>
      <c r="F1932" s="63"/>
    </row>
    <row r="1933" spans="1:6" ht="20.399999999999999">
      <c r="A1933" s="323"/>
      <c r="B1933" s="63"/>
      <c r="C1933" s="63"/>
      <c r="D1933" s="63"/>
      <c r="E1933" s="326"/>
      <c r="F1933" s="63"/>
    </row>
    <row r="1934" spans="1:6" ht="20.399999999999999">
      <c r="A1934" s="323"/>
      <c r="B1934" s="63"/>
      <c r="C1934" s="63"/>
      <c r="D1934" s="63"/>
      <c r="E1934" s="326"/>
      <c r="F1934" s="63"/>
    </row>
    <row r="1935" spans="1:6" ht="20.399999999999999">
      <c r="A1935" s="323"/>
      <c r="B1935" s="63"/>
      <c r="C1935" s="63"/>
      <c r="D1935" s="63"/>
      <c r="E1935" s="326"/>
      <c r="F1935" s="63"/>
    </row>
    <row r="1936" spans="1:6" ht="20.399999999999999">
      <c r="A1936" s="323"/>
      <c r="B1936" s="63"/>
      <c r="C1936" s="63"/>
      <c r="D1936" s="63"/>
      <c r="E1936" s="326"/>
      <c r="F1936" s="63"/>
    </row>
    <row r="1937" spans="1:6" ht="20.399999999999999">
      <c r="A1937" s="323"/>
      <c r="B1937" s="63"/>
      <c r="C1937" s="63"/>
      <c r="D1937" s="63"/>
      <c r="E1937" s="326"/>
      <c r="F1937" s="63"/>
    </row>
    <row r="1938" spans="1:6" ht="20.399999999999999">
      <c r="A1938" s="323"/>
      <c r="B1938" s="63"/>
      <c r="C1938" s="63"/>
      <c r="D1938" s="63"/>
      <c r="E1938" s="326"/>
      <c r="F1938" s="63"/>
    </row>
    <row r="1939" spans="1:6" ht="20.399999999999999">
      <c r="A1939" s="323"/>
      <c r="B1939" s="63"/>
      <c r="C1939" s="63"/>
      <c r="D1939" s="63"/>
      <c r="E1939" s="326"/>
      <c r="F1939" s="63"/>
    </row>
    <row r="1940" spans="1:6" ht="20.399999999999999">
      <c r="A1940" s="323"/>
      <c r="B1940" s="63"/>
      <c r="C1940" s="63"/>
      <c r="D1940" s="63"/>
      <c r="E1940" s="326"/>
      <c r="F1940" s="63"/>
    </row>
    <row r="1941" spans="1:6" ht="20.399999999999999">
      <c r="A1941" s="323"/>
      <c r="B1941" s="63"/>
      <c r="C1941" s="63"/>
      <c r="D1941" s="63"/>
      <c r="E1941" s="326"/>
      <c r="F1941" s="63"/>
    </row>
    <row r="1942" spans="1:6" ht="20.399999999999999">
      <c r="A1942" s="323"/>
      <c r="B1942" s="63"/>
      <c r="C1942" s="63"/>
      <c r="D1942" s="63"/>
      <c r="E1942" s="326"/>
      <c r="F1942" s="63"/>
    </row>
    <row r="1943" spans="1:6" ht="20.399999999999999">
      <c r="A1943" s="323"/>
      <c r="B1943" s="63"/>
      <c r="C1943" s="63"/>
      <c r="D1943" s="63"/>
      <c r="E1943" s="326"/>
      <c r="F1943" s="63"/>
    </row>
    <row r="1944" spans="1:6" ht="20.399999999999999">
      <c r="A1944" s="323"/>
      <c r="B1944" s="63"/>
      <c r="C1944" s="63"/>
      <c r="D1944" s="63"/>
      <c r="E1944" s="326"/>
      <c r="F1944" s="63"/>
    </row>
    <row r="1945" spans="1:6" ht="20.399999999999999">
      <c r="A1945" s="323"/>
      <c r="B1945" s="63"/>
      <c r="C1945" s="63"/>
      <c r="D1945" s="63"/>
      <c r="E1945" s="326"/>
      <c r="F1945" s="63"/>
    </row>
    <row r="1946" spans="1:6" ht="20.399999999999999">
      <c r="A1946" s="323"/>
      <c r="B1946" s="63"/>
      <c r="C1946" s="63"/>
      <c r="D1946" s="63"/>
      <c r="E1946" s="326"/>
      <c r="F1946" s="63"/>
    </row>
    <row r="1947" spans="1:6" ht="20.399999999999999">
      <c r="A1947" s="323"/>
      <c r="B1947" s="63"/>
      <c r="C1947" s="63"/>
      <c r="D1947" s="63"/>
      <c r="E1947" s="326"/>
      <c r="F1947" s="63"/>
    </row>
    <row r="1948" spans="1:6" ht="20.399999999999999">
      <c r="A1948" s="323"/>
      <c r="B1948" s="63"/>
      <c r="C1948" s="63"/>
      <c r="D1948" s="63"/>
      <c r="E1948" s="326"/>
      <c r="F1948" s="63"/>
    </row>
    <row r="1949" spans="1:6" ht="20.399999999999999">
      <c r="A1949" s="323"/>
      <c r="B1949" s="63"/>
      <c r="C1949" s="63"/>
      <c r="D1949" s="63"/>
      <c r="E1949" s="326"/>
      <c r="F1949" s="63"/>
    </row>
    <row r="1950" spans="1:6" ht="20.399999999999999">
      <c r="A1950" s="323"/>
      <c r="B1950" s="63"/>
      <c r="C1950" s="63"/>
      <c r="D1950" s="63"/>
      <c r="E1950" s="326"/>
      <c r="F1950" s="63"/>
    </row>
    <row r="1951" spans="1:6" ht="20.399999999999999">
      <c r="A1951" s="323"/>
      <c r="B1951" s="63"/>
      <c r="C1951" s="63"/>
      <c r="D1951" s="63"/>
      <c r="E1951" s="326"/>
      <c r="F1951" s="63"/>
    </row>
    <row r="1952" spans="1:6" ht="20.399999999999999">
      <c r="A1952" s="323"/>
      <c r="B1952" s="63"/>
      <c r="C1952" s="63"/>
      <c r="D1952" s="63"/>
      <c r="E1952" s="326"/>
      <c r="F1952" s="63"/>
    </row>
    <row r="1953" spans="1:6" ht="20.399999999999999">
      <c r="A1953" s="323"/>
      <c r="B1953" s="63"/>
      <c r="C1953" s="63"/>
      <c r="D1953" s="63"/>
      <c r="E1953" s="326"/>
      <c r="F1953" s="63"/>
    </row>
    <row r="1954" spans="1:6" ht="20.399999999999999">
      <c r="A1954" s="323"/>
      <c r="B1954" s="63"/>
      <c r="C1954" s="63"/>
      <c r="D1954" s="63"/>
      <c r="E1954" s="326"/>
      <c r="F1954" s="63"/>
    </row>
    <row r="1955" spans="1:6" ht="20.399999999999999">
      <c r="A1955" s="323"/>
      <c r="B1955" s="63"/>
      <c r="C1955" s="63"/>
      <c r="D1955" s="63"/>
      <c r="E1955" s="326"/>
      <c r="F1955" s="63"/>
    </row>
    <row r="1956" spans="1:6" ht="20.399999999999999">
      <c r="A1956" s="323"/>
      <c r="B1956" s="63"/>
      <c r="C1956" s="63"/>
      <c r="D1956" s="63"/>
      <c r="E1956" s="326"/>
      <c r="F1956" s="63"/>
    </row>
    <row r="1957" spans="1:6" ht="20.399999999999999">
      <c r="A1957" s="323"/>
      <c r="B1957" s="63"/>
      <c r="C1957" s="63"/>
      <c r="D1957" s="63"/>
      <c r="E1957" s="326"/>
      <c r="F1957" s="63"/>
    </row>
    <row r="1958" spans="1:6" ht="20.399999999999999">
      <c r="A1958" s="323"/>
      <c r="B1958" s="63"/>
      <c r="C1958" s="63"/>
      <c r="D1958" s="63"/>
      <c r="E1958" s="326"/>
      <c r="F1958" s="63"/>
    </row>
    <row r="1959" spans="1:6" ht="20.399999999999999">
      <c r="A1959" s="323"/>
      <c r="B1959" s="63"/>
      <c r="C1959" s="63"/>
      <c r="D1959" s="63"/>
      <c r="E1959" s="326"/>
      <c r="F1959" s="63"/>
    </row>
    <row r="1960" spans="1:6" ht="20.399999999999999">
      <c r="A1960" s="323"/>
      <c r="B1960" s="63"/>
      <c r="C1960" s="63"/>
      <c r="D1960" s="63"/>
      <c r="E1960" s="326"/>
      <c r="F1960" s="63"/>
    </row>
    <row r="1961" spans="1:6" ht="20.399999999999999">
      <c r="A1961" s="323"/>
      <c r="B1961" s="63"/>
      <c r="C1961" s="63"/>
      <c r="D1961" s="63"/>
      <c r="E1961" s="326"/>
      <c r="F1961" s="63"/>
    </row>
    <row r="1962" spans="1:6" ht="20.399999999999999">
      <c r="A1962" s="323"/>
      <c r="B1962" s="63"/>
      <c r="C1962" s="63"/>
      <c r="D1962" s="63"/>
      <c r="E1962" s="326"/>
      <c r="F1962" s="63"/>
    </row>
    <row r="1963" spans="1:6" ht="20.399999999999999">
      <c r="A1963" s="323"/>
      <c r="B1963" s="63"/>
      <c r="C1963" s="63"/>
      <c r="D1963" s="63"/>
      <c r="E1963" s="326"/>
      <c r="F1963" s="63"/>
    </row>
    <row r="1964" spans="1:6" ht="20.399999999999999">
      <c r="A1964" s="323"/>
      <c r="B1964" s="63"/>
      <c r="C1964" s="63"/>
      <c r="D1964" s="63"/>
      <c r="E1964" s="326"/>
      <c r="F1964" s="63"/>
    </row>
    <row r="1965" spans="1:6" ht="20.399999999999999">
      <c r="A1965" s="323"/>
      <c r="B1965" s="63"/>
      <c r="C1965" s="63"/>
      <c r="D1965" s="63"/>
      <c r="E1965" s="326"/>
      <c r="F1965" s="63"/>
    </row>
    <row r="1966" spans="1:6" ht="20.399999999999999">
      <c r="A1966" s="323"/>
      <c r="B1966" s="63"/>
      <c r="C1966" s="63"/>
      <c r="D1966" s="63"/>
      <c r="E1966" s="326"/>
      <c r="F1966" s="63"/>
    </row>
    <row r="1967" spans="1:6" ht="20.399999999999999">
      <c r="A1967" s="323"/>
      <c r="B1967" s="63"/>
      <c r="C1967" s="63"/>
      <c r="D1967" s="63"/>
      <c r="E1967" s="326"/>
      <c r="F1967" s="63"/>
    </row>
    <row r="1968" spans="1:6" ht="20.399999999999999">
      <c r="A1968" s="323"/>
      <c r="B1968" s="63"/>
      <c r="C1968" s="63"/>
      <c r="D1968" s="63"/>
      <c r="E1968" s="326"/>
      <c r="F1968" s="63"/>
    </row>
    <row r="1969" spans="1:6" ht="20.399999999999999">
      <c r="A1969" s="323"/>
      <c r="B1969" s="63"/>
      <c r="C1969" s="63"/>
      <c r="D1969" s="63"/>
      <c r="E1969" s="326"/>
      <c r="F1969" s="63"/>
    </row>
    <row r="1970" spans="1:6" ht="20.399999999999999">
      <c r="A1970" s="323"/>
      <c r="B1970" s="63"/>
      <c r="C1970" s="63"/>
      <c r="D1970" s="63"/>
      <c r="E1970" s="326"/>
      <c r="F1970" s="63"/>
    </row>
    <row r="1971" spans="1:6" ht="20.399999999999999">
      <c r="A1971" s="323"/>
      <c r="B1971" s="63"/>
      <c r="C1971" s="63"/>
      <c r="D1971" s="63"/>
      <c r="E1971" s="326"/>
      <c r="F1971" s="63"/>
    </row>
    <row r="1972" spans="1:6" ht="20.399999999999999">
      <c r="A1972" s="323"/>
      <c r="B1972" s="63"/>
      <c r="C1972" s="63"/>
      <c r="D1972" s="63"/>
      <c r="E1972" s="326"/>
      <c r="F1972" s="63"/>
    </row>
    <row r="1973" spans="1:6" ht="20.399999999999999">
      <c r="A1973" s="323"/>
      <c r="B1973" s="63"/>
      <c r="C1973" s="63"/>
      <c r="D1973" s="63"/>
      <c r="E1973" s="326"/>
      <c r="F1973" s="63"/>
    </row>
    <row r="1974" spans="1:6" ht="20.399999999999999">
      <c r="A1974" s="323"/>
      <c r="B1974" s="63"/>
      <c r="C1974" s="63"/>
      <c r="D1974" s="63"/>
      <c r="E1974" s="326"/>
      <c r="F1974" s="63"/>
    </row>
    <row r="1975" spans="1:6" ht="20.399999999999999">
      <c r="A1975" s="323"/>
      <c r="B1975" s="63"/>
      <c r="C1975" s="63"/>
      <c r="D1975" s="63"/>
      <c r="E1975" s="326"/>
      <c r="F1975" s="63"/>
    </row>
    <row r="1976" spans="1:6" ht="20.399999999999999">
      <c r="A1976" s="323"/>
      <c r="B1976" s="63"/>
      <c r="C1976" s="63"/>
      <c r="D1976" s="63"/>
      <c r="E1976" s="326"/>
      <c r="F1976" s="63"/>
    </row>
    <row r="1977" spans="1:6" ht="20.399999999999999">
      <c r="A1977" s="323"/>
      <c r="B1977" s="63"/>
      <c r="C1977" s="63"/>
      <c r="D1977" s="63"/>
      <c r="E1977" s="326"/>
      <c r="F1977" s="63"/>
    </row>
    <row r="1978" spans="1:6" ht="20.399999999999999">
      <c r="A1978" s="323"/>
      <c r="B1978" s="63"/>
      <c r="C1978" s="63"/>
      <c r="D1978" s="63"/>
      <c r="E1978" s="326"/>
      <c r="F1978" s="63"/>
    </row>
    <row r="1979" spans="1:6" ht="20.399999999999999">
      <c r="A1979" s="323"/>
      <c r="B1979" s="63"/>
      <c r="C1979" s="63"/>
      <c r="D1979" s="63"/>
      <c r="E1979" s="326"/>
      <c r="F1979" s="63"/>
    </row>
    <row r="1980" spans="1:6" ht="20.399999999999999">
      <c r="A1980" s="323"/>
      <c r="B1980" s="63"/>
      <c r="C1980" s="63"/>
      <c r="D1980" s="63"/>
      <c r="E1980" s="326"/>
      <c r="F1980" s="63"/>
    </row>
    <row r="1981" spans="1:6" ht="20.399999999999999">
      <c r="A1981" s="323"/>
      <c r="B1981" s="63"/>
      <c r="C1981" s="63"/>
      <c r="D1981" s="63"/>
      <c r="E1981" s="326"/>
      <c r="F1981" s="63"/>
    </row>
    <row r="1982" spans="1:6" ht="20.399999999999999">
      <c r="A1982" s="323"/>
      <c r="B1982" s="63"/>
      <c r="C1982" s="63"/>
      <c r="D1982" s="63"/>
      <c r="E1982" s="326"/>
      <c r="F1982" s="63"/>
    </row>
    <row r="1983" spans="1:6" ht="20.399999999999999">
      <c r="A1983" s="323"/>
      <c r="B1983" s="63"/>
      <c r="C1983" s="63"/>
      <c r="D1983" s="63"/>
      <c r="E1983" s="326"/>
      <c r="F1983" s="63"/>
    </row>
    <row r="1984" spans="1:6" ht="20.399999999999999">
      <c r="A1984" s="323"/>
      <c r="B1984" s="63"/>
      <c r="C1984" s="63"/>
      <c r="D1984" s="63"/>
      <c r="E1984" s="326"/>
      <c r="F1984" s="63"/>
    </row>
    <row r="1985" spans="1:6" ht="20.399999999999999">
      <c r="A1985" s="323"/>
      <c r="B1985" s="63"/>
      <c r="C1985" s="63"/>
      <c r="D1985" s="63"/>
      <c r="E1985" s="326"/>
      <c r="F1985" s="63"/>
    </row>
    <row r="1986" spans="1:6" ht="20.399999999999999">
      <c r="A1986" s="323"/>
      <c r="B1986" s="63"/>
      <c r="C1986" s="63"/>
      <c r="D1986" s="63"/>
      <c r="E1986" s="326"/>
      <c r="F1986" s="63"/>
    </row>
    <row r="1987" spans="1:6" ht="20.399999999999999">
      <c r="A1987" s="323"/>
      <c r="B1987" s="63"/>
      <c r="C1987" s="63"/>
      <c r="D1987" s="63"/>
      <c r="E1987" s="326"/>
      <c r="F1987" s="63"/>
    </row>
    <row r="1988" spans="1:6" ht="20.399999999999999">
      <c r="A1988" s="323"/>
      <c r="B1988" s="63"/>
      <c r="C1988" s="63"/>
      <c r="D1988" s="63"/>
      <c r="E1988" s="326"/>
      <c r="F1988" s="63"/>
    </row>
    <row r="1989" spans="1:6" ht="20.399999999999999">
      <c r="A1989" s="323"/>
      <c r="B1989" s="63"/>
      <c r="C1989" s="63"/>
      <c r="D1989" s="63"/>
      <c r="E1989" s="326"/>
      <c r="F1989" s="63"/>
    </row>
    <row r="1990" spans="1:6" ht="20.399999999999999">
      <c r="A1990" s="323"/>
      <c r="B1990" s="63"/>
      <c r="C1990" s="63"/>
      <c r="D1990" s="63"/>
      <c r="E1990" s="326"/>
      <c r="F1990" s="63"/>
    </row>
    <row r="1991" spans="1:6" ht="20.399999999999999">
      <c r="A1991" s="323"/>
      <c r="B1991" s="63"/>
      <c r="C1991" s="63"/>
      <c r="D1991" s="63"/>
      <c r="E1991" s="326"/>
      <c r="F1991" s="63"/>
    </row>
    <row r="1992" spans="1:6" ht="20.399999999999999">
      <c r="A1992" s="323"/>
      <c r="B1992" s="63"/>
      <c r="C1992" s="63"/>
      <c r="D1992" s="63"/>
      <c r="E1992" s="326"/>
      <c r="F1992" s="63"/>
    </row>
    <row r="1993" spans="1:6" ht="20.399999999999999">
      <c r="A1993" s="323"/>
      <c r="B1993" s="63"/>
      <c r="C1993" s="63"/>
      <c r="D1993" s="63"/>
      <c r="E1993" s="326"/>
      <c r="F1993" s="63"/>
    </row>
    <row r="1994" spans="1:6" ht="20.399999999999999">
      <c r="A1994" s="323"/>
      <c r="B1994" s="63"/>
      <c r="C1994" s="63"/>
      <c r="D1994" s="63"/>
      <c r="E1994" s="326"/>
      <c r="F1994" s="63"/>
    </row>
    <row r="1995" spans="1:6" ht="20.399999999999999">
      <c r="A1995" s="323"/>
      <c r="B1995" s="63"/>
      <c r="C1995" s="63"/>
      <c r="D1995" s="63"/>
      <c r="E1995" s="326"/>
      <c r="F1995" s="63"/>
    </row>
    <row r="1996" spans="1:6" ht="20.399999999999999">
      <c r="A1996" s="323"/>
      <c r="B1996" s="63"/>
      <c r="C1996" s="63"/>
      <c r="D1996" s="63"/>
      <c r="E1996" s="326"/>
      <c r="F1996" s="63"/>
    </row>
    <row r="1997" spans="1:6" ht="20.399999999999999">
      <c r="A1997" s="323"/>
      <c r="B1997" s="63"/>
      <c r="C1997" s="63"/>
      <c r="D1997" s="63"/>
      <c r="E1997" s="326"/>
      <c r="F1997" s="63"/>
    </row>
    <row r="1998" spans="1:6" ht="20.399999999999999">
      <c r="A1998" s="323"/>
      <c r="B1998" s="63"/>
      <c r="C1998" s="63"/>
      <c r="D1998" s="63"/>
      <c r="E1998" s="326"/>
      <c r="F1998" s="63"/>
    </row>
    <row r="1999" spans="1:6" ht="20.399999999999999">
      <c r="A1999" s="323"/>
      <c r="B1999" s="63"/>
      <c r="C1999" s="63"/>
      <c r="D1999" s="63"/>
      <c r="E1999" s="326"/>
      <c r="F1999" s="63"/>
    </row>
    <row r="2000" spans="1:6" ht="20.399999999999999">
      <c r="A2000" s="323"/>
      <c r="B2000" s="63"/>
      <c r="C2000" s="63"/>
      <c r="D2000" s="63"/>
      <c r="E2000" s="326"/>
      <c r="F2000" s="63"/>
    </row>
    <row r="2001" spans="1:6" ht="20.399999999999999">
      <c r="A2001" s="323"/>
      <c r="B2001" s="63"/>
      <c r="C2001" s="63"/>
      <c r="D2001" s="63"/>
      <c r="E2001" s="326"/>
      <c r="F2001" s="63"/>
    </row>
    <row r="2002" spans="1:6" ht="20.399999999999999">
      <c r="A2002" s="323"/>
      <c r="B2002" s="63"/>
      <c r="C2002" s="63"/>
      <c r="D2002" s="63"/>
      <c r="E2002" s="326"/>
      <c r="F2002" s="63"/>
    </row>
    <row r="2003" spans="1:6" ht="20.399999999999999">
      <c r="A2003" s="323"/>
      <c r="B2003" s="63"/>
      <c r="C2003" s="63"/>
      <c r="D2003" s="63"/>
      <c r="E2003" s="326"/>
      <c r="F2003" s="63"/>
    </row>
    <row r="2004" spans="1:6" ht="20.399999999999999">
      <c r="A2004" s="323"/>
      <c r="B2004" s="63"/>
      <c r="C2004" s="63"/>
      <c r="D2004" s="63"/>
      <c r="E2004" s="326"/>
      <c r="F2004" s="63"/>
    </row>
    <row r="2005" spans="1:6" ht="20.399999999999999">
      <c r="A2005" s="323"/>
      <c r="B2005" s="63"/>
      <c r="C2005" s="63"/>
      <c r="D2005" s="63"/>
      <c r="E2005" s="326"/>
      <c r="F2005" s="63"/>
    </row>
    <row r="2006" spans="1:6" ht="20.399999999999999">
      <c r="A2006" s="323"/>
      <c r="B2006" s="63"/>
      <c r="C2006" s="63"/>
      <c r="D2006" s="63"/>
      <c r="E2006" s="326"/>
      <c r="F2006" s="63"/>
    </row>
    <row r="2007" spans="1:6" ht="20.399999999999999">
      <c r="A2007" s="323"/>
      <c r="B2007" s="63"/>
      <c r="C2007" s="63"/>
      <c r="D2007" s="63"/>
      <c r="E2007" s="326"/>
      <c r="F2007" s="63"/>
    </row>
    <row r="2008" spans="1:6" ht="20.399999999999999">
      <c r="A2008" s="323"/>
      <c r="B2008" s="63"/>
      <c r="C2008" s="63"/>
      <c r="D2008" s="63"/>
      <c r="E2008" s="326"/>
      <c r="F2008" s="63"/>
    </row>
    <row r="2009" spans="1:6" ht="20.399999999999999">
      <c r="A2009" s="323"/>
      <c r="B2009" s="63"/>
      <c r="C2009" s="63"/>
      <c r="D2009" s="63"/>
      <c r="E2009" s="326"/>
      <c r="F2009" s="63"/>
    </row>
    <row r="2010" spans="1:6" ht="20.399999999999999">
      <c r="A2010" s="323"/>
      <c r="B2010" s="63"/>
      <c r="C2010" s="63"/>
      <c r="D2010" s="63"/>
      <c r="E2010" s="326"/>
      <c r="F2010" s="63"/>
    </row>
    <row r="2011" spans="1:6" ht="20.399999999999999">
      <c r="A2011" s="323"/>
      <c r="B2011" s="63"/>
      <c r="C2011" s="63"/>
      <c r="D2011" s="63"/>
      <c r="E2011" s="326"/>
      <c r="F2011" s="63"/>
    </row>
    <row r="2012" spans="1:6" ht="20.399999999999999">
      <c r="A2012" s="323"/>
      <c r="B2012" s="63"/>
      <c r="C2012" s="63"/>
      <c r="D2012" s="63"/>
      <c r="E2012" s="326"/>
      <c r="F2012" s="63"/>
    </row>
    <row r="2013" spans="1:6" ht="20.399999999999999">
      <c r="A2013" s="323"/>
      <c r="B2013" s="63"/>
      <c r="C2013" s="63"/>
      <c r="D2013" s="63"/>
      <c r="E2013" s="326"/>
      <c r="F2013" s="63"/>
    </row>
    <row r="2014" spans="1:6" ht="20.399999999999999">
      <c r="A2014" s="323"/>
      <c r="B2014" s="63"/>
      <c r="C2014" s="63"/>
      <c r="D2014" s="63"/>
      <c r="E2014" s="326"/>
      <c r="F2014" s="63"/>
    </row>
    <row r="2015" spans="1:6" ht="20.399999999999999">
      <c r="A2015" s="323"/>
      <c r="B2015" s="63"/>
      <c r="C2015" s="63"/>
      <c r="D2015" s="63"/>
      <c r="E2015" s="326"/>
      <c r="F2015" s="63"/>
    </row>
    <row r="2016" spans="1:6" ht="20.399999999999999">
      <c r="A2016" s="323"/>
      <c r="B2016" s="63"/>
      <c r="C2016" s="63"/>
      <c r="D2016" s="63"/>
      <c r="E2016" s="326"/>
      <c r="F2016" s="63"/>
    </row>
    <row r="2017" spans="1:6" ht="20.399999999999999">
      <c r="A2017" s="323"/>
      <c r="B2017" s="63"/>
      <c r="C2017" s="63"/>
      <c r="D2017" s="63"/>
      <c r="E2017" s="326"/>
      <c r="F2017" s="63"/>
    </row>
    <row r="2018" spans="1:6" ht="20.399999999999999">
      <c r="A2018" s="323"/>
      <c r="B2018" s="63"/>
      <c r="C2018" s="63"/>
      <c r="D2018" s="63"/>
      <c r="E2018" s="326"/>
      <c r="F2018" s="63"/>
    </row>
    <row r="2019" spans="1:6" ht="20.399999999999999">
      <c r="A2019" s="323"/>
      <c r="B2019" s="63"/>
      <c r="C2019" s="63"/>
      <c r="D2019" s="63"/>
      <c r="E2019" s="326"/>
      <c r="F2019" s="63"/>
    </row>
    <row r="2020" spans="1:6" ht="20.399999999999999">
      <c r="A2020" s="323"/>
      <c r="B2020" s="63"/>
      <c r="C2020" s="63"/>
      <c r="D2020" s="63"/>
      <c r="E2020" s="326"/>
      <c r="F2020" s="63"/>
    </row>
    <row r="2021" spans="1:6" ht="20.399999999999999">
      <c r="A2021" s="323"/>
      <c r="B2021" s="63"/>
      <c r="C2021" s="63"/>
      <c r="D2021" s="63"/>
      <c r="E2021" s="326"/>
      <c r="F2021" s="63"/>
    </row>
    <row r="2022" spans="1:6" ht="20.399999999999999">
      <c r="A2022" s="323"/>
      <c r="B2022" s="63"/>
      <c r="C2022" s="63"/>
      <c r="D2022" s="63"/>
      <c r="E2022" s="326"/>
      <c r="F2022" s="63"/>
    </row>
    <row r="2023" spans="1:6" ht="20.399999999999999">
      <c r="A2023" s="323"/>
      <c r="B2023" s="63"/>
      <c r="C2023" s="63"/>
      <c r="D2023" s="63"/>
      <c r="E2023" s="326"/>
      <c r="F2023" s="63"/>
    </row>
    <row r="2024" spans="1:6" ht="20.399999999999999">
      <c r="A2024" s="323"/>
      <c r="B2024" s="63"/>
      <c r="C2024" s="63"/>
      <c r="D2024" s="63"/>
      <c r="E2024" s="326"/>
      <c r="F2024" s="63"/>
    </row>
    <row r="2025" spans="1:6" ht="20.399999999999999">
      <c r="A2025" s="323"/>
      <c r="B2025" s="63"/>
      <c r="C2025" s="63"/>
      <c r="D2025" s="63"/>
      <c r="E2025" s="326"/>
      <c r="F2025" s="63"/>
    </row>
    <row r="2026" spans="1:6" ht="20.399999999999999">
      <c r="A2026" s="323"/>
      <c r="B2026" s="63"/>
      <c r="C2026" s="63"/>
      <c r="D2026" s="63"/>
      <c r="E2026" s="326"/>
      <c r="F2026" s="63"/>
    </row>
    <row r="2027" spans="1:6" ht="20.399999999999999">
      <c r="A2027" s="323"/>
      <c r="B2027" s="63"/>
      <c r="C2027" s="63"/>
      <c r="D2027" s="63"/>
      <c r="E2027" s="326"/>
      <c r="F2027" s="63"/>
    </row>
    <row r="2028" spans="1:6" ht="20.399999999999999">
      <c r="A2028" s="323"/>
      <c r="B2028" s="63"/>
      <c r="C2028" s="63"/>
      <c r="D2028" s="63"/>
      <c r="E2028" s="326"/>
      <c r="F2028" s="63"/>
    </row>
    <row r="2029" spans="1:6" ht="20.399999999999999">
      <c r="A2029" s="323"/>
      <c r="B2029" s="63"/>
      <c r="C2029" s="63"/>
      <c r="D2029" s="63"/>
      <c r="E2029" s="326"/>
      <c r="F2029" s="63"/>
    </row>
    <row r="2030" spans="1:6" ht="20.399999999999999">
      <c r="A2030" s="323"/>
      <c r="B2030" s="63"/>
      <c r="C2030" s="63"/>
      <c r="D2030" s="63"/>
      <c r="E2030" s="326"/>
      <c r="F2030" s="63"/>
    </row>
    <row r="2031" spans="1:6" ht="20.399999999999999">
      <c r="A2031" s="323"/>
      <c r="B2031" s="63"/>
      <c r="C2031" s="63"/>
      <c r="D2031" s="63"/>
      <c r="E2031" s="326"/>
      <c r="F2031" s="63"/>
    </row>
    <row r="2032" spans="1:6" ht="20.399999999999999">
      <c r="A2032" s="323"/>
      <c r="B2032" s="63"/>
      <c r="C2032" s="63"/>
      <c r="D2032" s="63"/>
      <c r="E2032" s="326"/>
      <c r="F2032" s="63"/>
    </row>
    <row r="2033" spans="1:6" ht="20.399999999999999">
      <c r="A2033" s="323"/>
      <c r="B2033" s="63"/>
      <c r="C2033" s="63"/>
      <c r="D2033" s="63"/>
      <c r="E2033" s="326"/>
      <c r="F2033" s="63"/>
    </row>
    <row r="2034" spans="1:6" ht="20.399999999999999">
      <c r="A2034" s="323"/>
      <c r="B2034" s="63"/>
      <c r="C2034" s="63"/>
      <c r="D2034" s="63"/>
      <c r="E2034" s="326"/>
      <c r="F2034" s="63"/>
    </row>
    <row r="2035" spans="1:6" ht="20.399999999999999">
      <c r="A2035" s="323"/>
      <c r="B2035" s="63"/>
      <c r="C2035" s="63"/>
      <c r="D2035" s="63"/>
      <c r="E2035" s="326"/>
      <c r="F2035" s="63"/>
    </row>
    <row r="2036" spans="1:6" ht="20.399999999999999">
      <c r="A2036" s="323"/>
      <c r="B2036" s="63"/>
      <c r="C2036" s="63"/>
      <c r="D2036" s="63"/>
      <c r="E2036" s="326"/>
      <c r="F2036" s="63"/>
    </row>
    <row r="2037" spans="1:6" ht="20.399999999999999">
      <c r="A2037" s="323"/>
      <c r="B2037" s="63"/>
      <c r="C2037" s="63"/>
      <c r="D2037" s="63"/>
      <c r="E2037" s="326"/>
      <c r="F2037" s="63"/>
    </row>
    <row r="2038" spans="1:6" ht="20.399999999999999">
      <c r="A2038" s="323"/>
      <c r="B2038" s="63"/>
      <c r="C2038" s="63"/>
      <c r="D2038" s="63"/>
      <c r="E2038" s="326"/>
      <c r="F2038" s="63"/>
    </row>
    <row r="2039" spans="1:6" ht="20.399999999999999">
      <c r="A2039" s="323"/>
      <c r="B2039" s="63"/>
      <c r="C2039" s="63"/>
      <c r="D2039" s="63"/>
      <c r="E2039" s="326"/>
      <c r="F2039" s="63"/>
    </row>
    <row r="2040" spans="1:6" ht="20.399999999999999">
      <c r="A2040" s="323"/>
      <c r="B2040" s="63"/>
      <c r="C2040" s="63"/>
      <c r="D2040" s="63"/>
      <c r="E2040" s="326"/>
      <c r="F2040" s="63"/>
    </row>
    <row r="2041" spans="1:6" ht="20.399999999999999">
      <c r="A2041" s="323"/>
      <c r="B2041" s="63"/>
      <c r="C2041" s="63"/>
      <c r="D2041" s="63"/>
      <c r="E2041" s="326"/>
      <c r="F2041" s="63"/>
    </row>
    <row r="2042" spans="1:6" ht="20.399999999999999">
      <c r="A2042" s="323"/>
      <c r="B2042" s="63"/>
      <c r="C2042" s="63"/>
      <c r="D2042" s="63"/>
      <c r="E2042" s="326"/>
      <c r="F2042" s="63"/>
    </row>
    <row r="2043" spans="1:6" ht="20.399999999999999">
      <c r="A2043" s="323"/>
      <c r="B2043" s="63"/>
      <c r="C2043" s="63"/>
      <c r="D2043" s="63"/>
      <c r="E2043" s="326"/>
      <c r="F2043" s="63"/>
    </row>
    <row r="2044" spans="1:6" ht="20.399999999999999">
      <c r="A2044" s="323"/>
      <c r="B2044" s="63"/>
      <c r="C2044" s="63"/>
      <c r="D2044" s="63"/>
      <c r="E2044" s="326"/>
      <c r="F2044" s="63"/>
    </row>
    <row r="2045" spans="1:6" ht="20.399999999999999">
      <c r="A2045" s="323"/>
      <c r="B2045" s="63"/>
      <c r="C2045" s="63"/>
      <c r="D2045" s="63"/>
      <c r="E2045" s="326"/>
      <c r="F2045" s="63"/>
    </row>
    <row r="2046" spans="1:6" ht="20.399999999999999">
      <c r="A2046" s="323"/>
      <c r="B2046" s="63"/>
      <c r="C2046" s="63"/>
      <c r="D2046" s="63"/>
      <c r="E2046" s="326"/>
      <c r="F2046" s="63"/>
    </row>
    <row r="2047" spans="1:6" ht="20.399999999999999">
      <c r="A2047" s="323"/>
      <c r="B2047" s="63"/>
      <c r="C2047" s="63"/>
      <c r="D2047" s="63"/>
      <c r="E2047" s="326"/>
      <c r="F2047" s="63"/>
    </row>
    <row r="2048" spans="1:6" ht="20.399999999999999">
      <c r="A2048" s="323"/>
      <c r="B2048" s="63"/>
      <c r="C2048" s="63"/>
      <c r="D2048" s="63"/>
      <c r="E2048" s="326"/>
      <c r="F2048" s="63"/>
    </row>
    <row r="2049" spans="1:6" ht="20.399999999999999">
      <c r="A2049" s="323"/>
      <c r="B2049" s="63"/>
      <c r="C2049" s="63"/>
      <c r="D2049" s="63"/>
      <c r="E2049" s="326"/>
      <c r="F2049" s="63"/>
    </row>
    <row r="2050" spans="1:6" ht="20.399999999999999">
      <c r="A2050" s="323"/>
      <c r="B2050" s="63"/>
      <c r="C2050" s="63"/>
      <c r="D2050" s="63"/>
      <c r="E2050" s="326"/>
      <c r="F2050" s="63"/>
    </row>
    <row r="2051" spans="1:6" ht="20.399999999999999">
      <c r="A2051" s="323"/>
      <c r="B2051" s="63"/>
      <c r="C2051" s="63"/>
      <c r="D2051" s="63"/>
      <c r="E2051" s="326"/>
      <c r="F2051" s="63"/>
    </row>
    <row r="2052" spans="1:6" ht="20.399999999999999">
      <c r="A2052" s="323"/>
      <c r="B2052" s="63"/>
      <c r="C2052" s="63"/>
      <c r="D2052" s="63"/>
      <c r="E2052" s="326"/>
      <c r="F2052" s="63"/>
    </row>
    <row r="2053" spans="1:6" ht="20.399999999999999">
      <c r="A2053" s="323"/>
      <c r="B2053" s="63"/>
      <c r="C2053" s="63"/>
      <c r="D2053" s="63"/>
      <c r="E2053" s="326"/>
      <c r="F2053" s="63"/>
    </row>
    <row r="2054" spans="1:6" ht="20.399999999999999">
      <c r="A2054" s="323"/>
      <c r="B2054" s="63"/>
      <c r="C2054" s="63"/>
      <c r="D2054" s="63"/>
      <c r="E2054" s="326"/>
      <c r="F2054" s="63"/>
    </row>
    <row r="2055" spans="1:6" ht="20.399999999999999">
      <c r="A2055" s="323"/>
      <c r="B2055" s="63"/>
      <c r="C2055" s="63"/>
      <c r="D2055" s="63"/>
      <c r="E2055" s="326"/>
      <c r="F2055" s="63"/>
    </row>
    <row r="2056" spans="1:6" ht="20.399999999999999">
      <c r="A2056" s="323"/>
      <c r="B2056" s="63"/>
      <c r="C2056" s="63"/>
      <c r="D2056" s="63"/>
      <c r="E2056" s="326"/>
      <c r="F2056" s="63"/>
    </row>
    <row r="2057" spans="1:6" ht="20.399999999999999">
      <c r="A2057" s="323"/>
      <c r="B2057" s="63"/>
      <c r="C2057" s="63"/>
      <c r="D2057" s="63"/>
      <c r="E2057" s="326"/>
      <c r="F2057" s="63"/>
    </row>
    <row r="2058" spans="1:6" ht="20.399999999999999">
      <c r="A2058" s="323"/>
      <c r="B2058" s="63"/>
      <c r="C2058" s="63"/>
      <c r="D2058" s="63"/>
      <c r="E2058" s="326"/>
      <c r="F2058" s="63"/>
    </row>
    <row r="2059" spans="1:6" ht="20.399999999999999">
      <c r="A2059" s="323"/>
      <c r="B2059" s="63"/>
      <c r="C2059" s="63"/>
      <c r="D2059" s="63"/>
      <c r="E2059" s="326"/>
      <c r="F2059" s="63"/>
    </row>
    <row r="2060" spans="1:6" ht="20.399999999999999">
      <c r="A2060" s="323"/>
      <c r="B2060" s="63"/>
      <c r="C2060" s="63"/>
      <c r="D2060" s="63"/>
      <c r="E2060" s="326"/>
      <c r="F2060" s="63"/>
    </row>
    <row r="2061" spans="1:6" ht="20.399999999999999">
      <c r="A2061" s="323"/>
      <c r="B2061" s="63"/>
      <c r="C2061" s="63"/>
      <c r="D2061" s="63"/>
      <c r="E2061" s="326"/>
      <c r="F2061" s="63"/>
    </row>
    <row r="2062" spans="1:6" ht="20.399999999999999">
      <c r="A2062" s="323"/>
      <c r="B2062" s="63"/>
      <c r="C2062" s="63"/>
      <c r="D2062" s="63"/>
      <c r="E2062" s="326"/>
      <c r="F2062" s="63"/>
    </row>
    <row r="2063" spans="1:6" ht="20.399999999999999">
      <c r="A2063" s="323"/>
      <c r="B2063" s="63"/>
      <c r="C2063" s="63"/>
      <c r="D2063" s="63"/>
      <c r="E2063" s="326"/>
      <c r="F2063" s="63"/>
    </row>
    <row r="2064" spans="1:6" ht="20.399999999999999">
      <c r="A2064" s="323"/>
      <c r="B2064" s="63"/>
      <c r="C2064" s="63"/>
      <c r="D2064" s="63"/>
      <c r="E2064" s="326"/>
      <c r="F2064" s="63"/>
    </row>
    <row r="2065" spans="1:6" ht="20.399999999999999">
      <c r="A2065" s="323"/>
      <c r="B2065" s="63"/>
      <c r="C2065" s="63"/>
      <c r="D2065" s="63"/>
      <c r="E2065" s="326"/>
      <c r="F2065" s="63"/>
    </row>
    <row r="2066" spans="1:6" ht="20.399999999999999">
      <c r="A2066" s="323"/>
      <c r="B2066" s="63"/>
      <c r="C2066" s="63"/>
      <c r="D2066" s="63"/>
      <c r="E2066" s="326"/>
      <c r="F2066" s="63"/>
    </row>
    <row r="2067" spans="1:6" ht="20.399999999999999">
      <c r="A2067" s="323"/>
      <c r="B2067" s="63"/>
      <c r="C2067" s="63"/>
      <c r="D2067" s="63"/>
      <c r="E2067" s="326"/>
      <c r="F2067" s="63"/>
    </row>
    <row r="2068" spans="1:6" ht="20.399999999999999">
      <c r="A2068" s="323"/>
      <c r="B2068" s="63"/>
      <c r="C2068" s="63"/>
      <c r="D2068" s="63"/>
      <c r="E2068" s="326"/>
      <c r="F2068" s="63"/>
    </row>
    <row r="2069" spans="1:6" ht="20.399999999999999">
      <c r="A2069" s="323"/>
      <c r="B2069" s="63"/>
      <c r="C2069" s="63"/>
      <c r="D2069" s="63"/>
      <c r="E2069" s="326"/>
      <c r="F2069" s="63"/>
    </row>
    <row r="2070" spans="1:6" ht="20.399999999999999">
      <c r="A2070" s="323"/>
      <c r="B2070" s="63"/>
      <c r="C2070" s="63"/>
      <c r="D2070" s="63"/>
      <c r="E2070" s="326"/>
      <c r="F2070" s="63"/>
    </row>
    <row r="2071" spans="1:6" ht="20.399999999999999">
      <c r="A2071" s="323"/>
      <c r="B2071" s="63"/>
      <c r="C2071" s="63"/>
      <c r="D2071" s="63"/>
      <c r="E2071" s="326"/>
      <c r="F2071" s="63"/>
    </row>
    <row r="2072" spans="1:6" ht="20.399999999999999">
      <c r="A2072" s="323"/>
      <c r="B2072" s="63"/>
      <c r="C2072" s="63"/>
      <c r="D2072" s="63"/>
      <c r="E2072" s="326"/>
      <c r="F2072" s="63"/>
    </row>
    <row r="2073" spans="1:6" ht="20.399999999999999">
      <c r="A2073" s="323"/>
      <c r="B2073" s="63"/>
      <c r="C2073" s="63"/>
      <c r="D2073" s="63"/>
      <c r="E2073" s="326"/>
      <c r="F2073" s="63"/>
    </row>
    <row r="2074" spans="1:6" ht="20.399999999999999">
      <c r="A2074" s="323"/>
      <c r="B2074" s="63"/>
      <c r="C2074" s="63"/>
      <c r="D2074" s="63"/>
      <c r="E2074" s="326"/>
      <c r="F2074" s="63"/>
    </row>
    <row r="2075" spans="1:6" ht="20.399999999999999">
      <c r="A2075" s="323"/>
      <c r="B2075" s="63"/>
      <c r="C2075" s="63"/>
      <c r="D2075" s="63"/>
      <c r="E2075" s="326"/>
      <c r="F2075" s="63"/>
    </row>
    <row r="2076" spans="1:6" ht="20.399999999999999">
      <c r="A2076" s="323"/>
      <c r="B2076" s="63"/>
      <c r="C2076" s="63"/>
      <c r="D2076" s="63"/>
      <c r="E2076" s="326"/>
      <c r="F2076" s="63"/>
    </row>
    <row r="2077" spans="1:6" ht="20.399999999999999">
      <c r="A2077" s="323"/>
      <c r="B2077" s="63"/>
      <c r="C2077" s="63"/>
      <c r="D2077" s="63"/>
      <c r="E2077" s="326"/>
      <c r="F2077" s="63"/>
    </row>
    <row r="2078" spans="1:6" ht="20.399999999999999">
      <c r="A2078" s="323"/>
      <c r="B2078" s="63"/>
      <c r="C2078" s="63"/>
      <c r="D2078" s="63"/>
      <c r="E2078" s="326"/>
      <c r="F2078" s="63"/>
    </row>
    <row r="2079" spans="1:6" ht="20.399999999999999">
      <c r="A2079" s="323"/>
      <c r="B2079" s="63"/>
      <c r="C2079" s="63"/>
      <c r="D2079" s="63"/>
      <c r="E2079" s="326"/>
      <c r="F2079" s="63"/>
    </row>
    <row r="2080" spans="1:6" ht="20.399999999999999">
      <c r="A2080" s="323"/>
      <c r="B2080" s="63"/>
      <c r="C2080" s="63"/>
      <c r="D2080" s="63"/>
      <c r="E2080" s="326"/>
      <c r="F2080" s="63"/>
    </row>
    <row r="2081" spans="1:6" ht="20.399999999999999">
      <c r="A2081" s="323"/>
      <c r="B2081" s="63"/>
      <c r="C2081" s="63"/>
      <c r="D2081" s="63"/>
      <c r="E2081" s="326"/>
      <c r="F2081" s="63"/>
    </row>
    <row r="2082" spans="1:6" ht="20.399999999999999">
      <c r="A2082" s="323"/>
      <c r="B2082" s="63"/>
      <c r="C2082" s="63"/>
      <c r="D2082" s="63"/>
      <c r="E2082" s="326"/>
      <c r="F2082" s="63"/>
    </row>
    <row r="2083" spans="1:6" ht="20.399999999999999">
      <c r="A2083" s="323"/>
      <c r="B2083" s="63"/>
      <c r="C2083" s="63"/>
      <c r="D2083" s="63"/>
      <c r="E2083" s="326"/>
      <c r="F2083" s="63"/>
    </row>
    <row r="2084" spans="1:6" ht="20.399999999999999">
      <c r="A2084" s="323"/>
      <c r="B2084" s="63"/>
      <c r="C2084" s="63"/>
      <c r="D2084" s="63"/>
      <c r="E2084" s="326"/>
      <c r="F2084" s="63"/>
    </row>
    <row r="2085" spans="1:6" ht="20.399999999999999">
      <c r="A2085" s="323"/>
      <c r="B2085" s="63"/>
      <c r="C2085" s="63"/>
      <c r="D2085" s="63"/>
      <c r="E2085" s="326"/>
      <c r="F2085" s="63"/>
    </row>
    <row r="2086" spans="1:6" ht="20.399999999999999">
      <c r="A2086" s="323"/>
      <c r="B2086" s="63"/>
      <c r="C2086" s="63"/>
      <c r="D2086" s="63"/>
      <c r="E2086" s="326"/>
      <c r="F2086" s="63"/>
    </row>
    <row r="2087" spans="1:6" ht="20.399999999999999">
      <c r="A2087" s="323"/>
      <c r="B2087" s="63"/>
      <c r="C2087" s="63"/>
      <c r="D2087" s="63"/>
      <c r="E2087" s="326"/>
      <c r="F2087" s="63"/>
    </row>
    <row r="2088" spans="1:6" ht="20.399999999999999">
      <c r="A2088" s="323"/>
      <c r="B2088" s="63"/>
      <c r="C2088" s="63"/>
      <c r="D2088" s="63"/>
      <c r="E2088" s="326"/>
      <c r="F2088" s="63"/>
    </row>
    <row r="2089" spans="1:6" ht="20.399999999999999">
      <c r="A2089" s="323"/>
      <c r="B2089" s="63"/>
      <c r="C2089" s="63"/>
      <c r="D2089" s="63"/>
      <c r="E2089" s="326"/>
      <c r="F2089" s="63"/>
    </row>
    <row r="2090" spans="1:6" ht="20.399999999999999">
      <c r="A2090" s="323"/>
      <c r="B2090" s="63"/>
      <c r="C2090" s="63"/>
      <c r="D2090" s="63"/>
      <c r="E2090" s="326"/>
      <c r="F2090" s="63"/>
    </row>
    <row r="2091" spans="1:6" ht="20.399999999999999">
      <c r="A2091" s="323"/>
      <c r="B2091" s="63"/>
      <c r="C2091" s="63"/>
      <c r="D2091" s="63"/>
      <c r="E2091" s="326"/>
      <c r="F2091" s="63"/>
    </row>
    <row r="2092" spans="1:6" ht="20.399999999999999">
      <c r="A2092" s="323"/>
      <c r="B2092" s="63"/>
      <c r="C2092" s="63"/>
      <c r="D2092" s="63"/>
      <c r="E2092" s="326"/>
      <c r="F2092" s="63"/>
    </row>
    <row r="2093" spans="1:6" ht="20.399999999999999">
      <c r="A2093" s="323"/>
      <c r="B2093" s="63"/>
      <c r="C2093" s="63"/>
      <c r="D2093" s="63"/>
      <c r="E2093" s="326"/>
      <c r="F2093" s="63"/>
    </row>
    <row r="2094" spans="1:6" ht="20.399999999999999">
      <c r="A2094" s="323"/>
      <c r="B2094" s="63"/>
      <c r="C2094" s="63"/>
      <c r="D2094" s="63"/>
      <c r="E2094" s="326"/>
      <c r="F2094" s="63"/>
    </row>
    <row r="2095" spans="1:6" ht="20.399999999999999">
      <c r="A2095" s="323"/>
      <c r="B2095" s="63"/>
      <c r="C2095" s="63"/>
      <c r="D2095" s="63"/>
      <c r="E2095" s="326"/>
      <c r="F2095" s="63"/>
    </row>
    <row r="2096" spans="1:6" ht="20.399999999999999">
      <c r="A2096" s="323"/>
      <c r="B2096" s="63"/>
      <c r="C2096" s="63"/>
      <c r="D2096" s="63"/>
      <c r="E2096" s="326"/>
      <c r="F2096" s="63"/>
    </row>
    <row r="2097" spans="1:6" ht="20.399999999999999">
      <c r="A2097" s="323"/>
      <c r="B2097" s="63"/>
      <c r="C2097" s="63"/>
      <c r="D2097" s="63"/>
      <c r="E2097" s="326"/>
      <c r="F2097" s="63"/>
    </row>
    <row r="2098" spans="1:6" ht="20.399999999999999">
      <c r="A2098" s="323"/>
      <c r="B2098" s="63"/>
      <c r="C2098" s="63"/>
      <c r="D2098" s="63"/>
      <c r="E2098" s="326"/>
      <c r="F2098" s="63"/>
    </row>
    <row r="2099" spans="1:6" ht="20.399999999999999">
      <c r="A2099" s="323"/>
      <c r="B2099" s="63"/>
      <c r="C2099" s="63"/>
      <c r="D2099" s="63"/>
      <c r="E2099" s="326"/>
      <c r="F2099" s="63"/>
    </row>
    <row r="2100" spans="1:6" ht="20.399999999999999">
      <c r="A2100" s="323"/>
      <c r="B2100" s="63"/>
      <c r="C2100" s="63"/>
      <c r="D2100" s="63"/>
      <c r="E2100" s="326"/>
      <c r="F2100" s="63"/>
    </row>
    <row r="2101" spans="1:6" ht="20.399999999999999">
      <c r="A2101" s="323"/>
      <c r="B2101" s="63"/>
      <c r="C2101" s="63"/>
      <c r="D2101" s="63"/>
      <c r="E2101" s="326"/>
      <c r="F2101" s="63"/>
    </row>
    <row r="2102" spans="1:6" ht="20.399999999999999">
      <c r="A2102" s="323"/>
      <c r="B2102" s="63"/>
      <c r="C2102" s="63"/>
      <c r="D2102" s="63"/>
      <c r="E2102" s="326"/>
      <c r="F2102" s="63"/>
    </row>
    <row r="2103" spans="1:6" ht="20.399999999999999">
      <c r="A2103" s="323"/>
      <c r="B2103" s="63"/>
      <c r="C2103" s="63"/>
      <c r="D2103" s="63"/>
      <c r="E2103" s="326"/>
      <c r="F2103" s="63"/>
    </row>
    <row r="2104" spans="1:6" ht="20.399999999999999">
      <c r="A2104" s="323"/>
      <c r="B2104" s="63"/>
      <c r="C2104" s="63"/>
      <c r="D2104" s="63"/>
      <c r="E2104" s="326"/>
      <c r="F2104" s="63"/>
    </row>
    <row r="2105" spans="1:6" ht="20.399999999999999">
      <c r="A2105" s="323"/>
      <c r="B2105" s="63"/>
      <c r="C2105" s="63"/>
      <c r="D2105" s="63"/>
      <c r="E2105" s="326"/>
      <c r="F2105" s="63"/>
    </row>
    <row r="2106" spans="1:6" ht="20.399999999999999">
      <c r="A2106" s="323"/>
      <c r="B2106" s="63"/>
      <c r="C2106" s="63"/>
      <c r="D2106" s="63"/>
      <c r="E2106" s="326"/>
      <c r="F2106" s="63"/>
    </row>
    <row r="2107" spans="1:6" ht="20.399999999999999">
      <c r="A2107" s="323"/>
      <c r="B2107" s="63"/>
      <c r="C2107" s="63"/>
      <c r="D2107" s="63"/>
      <c r="E2107" s="326"/>
      <c r="F2107" s="63"/>
    </row>
    <row r="2108" spans="1:6" ht="20.399999999999999">
      <c r="A2108" s="323"/>
      <c r="B2108" s="63"/>
      <c r="C2108" s="63"/>
      <c r="D2108" s="63"/>
      <c r="E2108" s="326"/>
      <c r="F2108" s="63"/>
    </row>
    <row r="2109" spans="1:6" ht="20.399999999999999">
      <c r="A2109" s="323"/>
      <c r="B2109" s="63"/>
      <c r="C2109" s="63"/>
      <c r="D2109" s="63"/>
      <c r="E2109" s="326"/>
      <c r="F2109" s="63"/>
    </row>
    <row r="2110" spans="1:6" ht="20.399999999999999">
      <c r="A2110" s="323"/>
      <c r="B2110" s="63"/>
      <c r="C2110" s="63"/>
      <c r="D2110" s="63"/>
      <c r="E2110" s="326"/>
      <c r="F2110" s="63"/>
    </row>
    <row r="2111" spans="1:6" ht="20.399999999999999">
      <c r="A2111" s="323"/>
      <c r="B2111" s="63"/>
      <c r="C2111" s="63"/>
      <c r="D2111" s="63"/>
      <c r="E2111" s="326"/>
      <c r="F2111" s="63"/>
    </row>
    <row r="2112" spans="1:6" ht="20.399999999999999">
      <c r="A2112" s="323"/>
      <c r="B2112" s="63"/>
      <c r="C2112" s="63"/>
      <c r="D2112" s="63"/>
      <c r="E2112" s="326"/>
      <c r="F2112" s="63"/>
    </row>
    <row r="2113" spans="1:6" ht="20.399999999999999">
      <c r="A2113" s="323"/>
      <c r="B2113" s="63"/>
      <c r="C2113" s="63"/>
      <c r="D2113" s="63"/>
      <c r="E2113" s="326"/>
      <c r="F2113" s="63"/>
    </row>
    <row r="2114" spans="1:6" ht="20.399999999999999">
      <c r="A2114" s="323"/>
      <c r="B2114" s="63"/>
      <c r="C2114" s="63"/>
      <c r="D2114" s="63"/>
      <c r="E2114" s="326"/>
      <c r="F2114" s="63"/>
    </row>
    <row r="2115" spans="1:6" ht="20.399999999999999">
      <c r="A2115" s="323"/>
      <c r="B2115" s="63"/>
      <c r="C2115" s="63"/>
      <c r="D2115" s="63"/>
      <c r="E2115" s="326"/>
      <c r="F2115" s="63"/>
    </row>
    <row r="2116" spans="1:6" ht="20.399999999999999">
      <c r="A2116" s="323"/>
      <c r="B2116" s="63"/>
      <c r="C2116" s="63"/>
      <c r="D2116" s="63"/>
      <c r="E2116" s="326"/>
      <c r="F2116" s="63"/>
    </row>
    <row r="2117" spans="1:6" ht="20.399999999999999">
      <c r="A2117" s="323"/>
      <c r="B2117" s="63"/>
      <c r="C2117" s="63"/>
      <c r="D2117" s="63"/>
      <c r="E2117" s="326"/>
      <c r="F2117" s="63"/>
    </row>
    <row r="2118" spans="1:6" ht="20.399999999999999">
      <c r="A2118" s="323"/>
      <c r="B2118" s="63"/>
      <c r="C2118" s="63"/>
      <c r="D2118" s="63"/>
      <c r="E2118" s="326"/>
      <c r="F2118" s="63"/>
    </row>
    <row r="2119" spans="1:6" ht="20.399999999999999">
      <c r="A2119" s="323"/>
      <c r="B2119" s="63"/>
      <c r="C2119" s="63"/>
      <c r="D2119" s="63"/>
      <c r="E2119" s="326"/>
      <c r="F2119" s="63"/>
    </row>
    <row r="2120" spans="1:6" ht="20.399999999999999">
      <c r="A2120" s="323"/>
      <c r="B2120" s="63"/>
      <c r="C2120" s="63"/>
      <c r="D2120" s="63"/>
      <c r="E2120" s="326"/>
      <c r="F2120" s="63"/>
    </row>
    <row r="2121" spans="1:6" ht="20.399999999999999">
      <c r="A2121" s="323"/>
      <c r="B2121" s="63"/>
      <c r="C2121" s="63"/>
      <c r="D2121" s="63"/>
      <c r="E2121" s="326"/>
      <c r="F2121" s="63"/>
    </row>
    <row r="2122" spans="1:6" ht="20.399999999999999">
      <c r="A2122" s="323"/>
      <c r="B2122" s="63"/>
      <c r="C2122" s="63"/>
      <c r="D2122" s="63"/>
      <c r="E2122" s="326"/>
      <c r="F2122" s="63"/>
    </row>
    <row r="2123" spans="1:6" ht="20.399999999999999">
      <c r="A2123" s="323"/>
      <c r="B2123" s="63"/>
      <c r="C2123" s="63"/>
      <c r="D2123" s="63"/>
      <c r="E2123" s="326"/>
      <c r="F2123" s="63"/>
    </row>
    <row r="2124" spans="1:6" ht="20.399999999999999">
      <c r="A2124" s="323"/>
      <c r="B2124" s="63"/>
      <c r="C2124" s="63"/>
      <c r="D2124" s="63"/>
      <c r="E2124" s="326"/>
      <c r="F2124" s="63"/>
    </row>
    <row r="2125" spans="1:6" ht="20.399999999999999">
      <c r="A2125" s="323"/>
      <c r="B2125" s="63"/>
      <c r="C2125" s="63"/>
      <c r="D2125" s="63"/>
      <c r="E2125" s="326"/>
      <c r="F2125" s="63"/>
    </row>
    <row r="2126" spans="1:6" ht="20.399999999999999">
      <c r="A2126" s="323"/>
      <c r="B2126" s="63"/>
      <c r="C2126" s="63"/>
      <c r="D2126" s="63"/>
      <c r="E2126" s="326"/>
      <c r="F2126" s="63"/>
    </row>
    <row r="2127" spans="1:6" ht="20.399999999999999">
      <c r="A2127" s="323"/>
      <c r="B2127" s="63"/>
      <c r="C2127" s="63"/>
      <c r="D2127" s="63"/>
      <c r="E2127" s="326"/>
      <c r="F2127" s="63"/>
    </row>
    <row r="2128" spans="1:6" ht="20.399999999999999">
      <c r="A2128" s="323"/>
      <c r="B2128" s="63"/>
      <c r="C2128" s="63"/>
      <c r="D2128" s="63"/>
      <c r="E2128" s="326"/>
      <c r="F2128" s="63"/>
    </row>
    <row r="2129" spans="1:6" ht="20.399999999999999">
      <c r="A2129" s="323"/>
      <c r="B2129" s="63"/>
      <c r="C2129" s="63"/>
      <c r="D2129" s="63"/>
      <c r="E2129" s="326"/>
      <c r="F2129" s="63"/>
    </row>
    <row r="2130" spans="1:6" ht="20.399999999999999">
      <c r="A2130" s="323"/>
      <c r="B2130" s="63"/>
      <c r="C2130" s="63"/>
      <c r="D2130" s="63"/>
      <c r="E2130" s="326"/>
      <c r="F2130" s="63"/>
    </row>
    <row r="2131" spans="1:6" ht="20.399999999999999">
      <c r="A2131" s="323"/>
      <c r="B2131" s="63"/>
      <c r="C2131" s="63"/>
      <c r="D2131" s="63"/>
      <c r="E2131" s="326"/>
      <c r="F2131" s="63"/>
    </row>
    <row r="2132" spans="1:6" ht="20.399999999999999">
      <c r="A2132" s="323"/>
      <c r="B2132" s="63"/>
      <c r="C2132" s="63"/>
      <c r="D2132" s="63"/>
      <c r="E2132" s="326"/>
      <c r="F2132" s="63"/>
    </row>
    <row r="2133" spans="1:6" ht="20.399999999999999">
      <c r="A2133" s="323"/>
      <c r="B2133" s="63"/>
      <c r="C2133" s="63"/>
      <c r="D2133" s="63"/>
      <c r="E2133" s="326"/>
      <c r="F2133" s="63"/>
    </row>
    <row r="2134" spans="1:6" ht="20.399999999999999">
      <c r="A2134" s="323"/>
      <c r="B2134" s="63"/>
      <c r="C2134" s="63"/>
      <c r="D2134" s="63"/>
      <c r="E2134" s="326"/>
      <c r="F2134" s="63"/>
    </row>
    <row r="2135" spans="1:6" ht="20.399999999999999">
      <c r="A2135" s="323"/>
      <c r="B2135" s="63"/>
      <c r="C2135" s="63"/>
      <c r="D2135" s="63"/>
      <c r="E2135" s="326"/>
      <c r="F2135" s="63"/>
    </row>
    <row r="2136" spans="1:6" ht="20.399999999999999">
      <c r="A2136" s="323"/>
      <c r="B2136" s="63"/>
      <c r="C2136" s="63"/>
      <c r="D2136" s="63"/>
      <c r="E2136" s="326"/>
      <c r="F2136" s="63"/>
    </row>
    <row r="2137" spans="1:6" ht="20.399999999999999">
      <c r="A2137" s="323"/>
      <c r="B2137" s="63"/>
      <c r="C2137" s="63"/>
      <c r="D2137" s="63"/>
      <c r="E2137" s="326"/>
      <c r="F2137" s="63"/>
    </row>
    <row r="2138" spans="1:6" ht="20.399999999999999">
      <c r="A2138" s="323"/>
      <c r="B2138" s="63"/>
      <c r="C2138" s="63"/>
      <c r="D2138" s="63"/>
      <c r="E2138" s="326"/>
      <c r="F2138" s="63"/>
    </row>
    <row r="2139" spans="1:6" ht="20.399999999999999">
      <c r="A2139" s="323"/>
      <c r="B2139" s="63"/>
      <c r="C2139" s="63"/>
      <c r="D2139" s="63"/>
      <c r="E2139" s="326"/>
      <c r="F2139" s="63"/>
    </row>
    <row r="2140" spans="1:6" ht="20.399999999999999">
      <c r="A2140" s="323"/>
      <c r="B2140" s="63"/>
      <c r="C2140" s="63"/>
      <c r="D2140" s="63"/>
      <c r="E2140" s="326"/>
      <c r="F2140" s="63"/>
    </row>
    <row r="2141" spans="1:6" ht="20.399999999999999">
      <c r="A2141" s="323"/>
      <c r="B2141" s="63"/>
      <c r="C2141" s="63"/>
      <c r="D2141" s="63"/>
      <c r="E2141" s="326"/>
      <c r="F2141" s="63"/>
    </row>
    <row r="2142" spans="1:6" ht="20.399999999999999">
      <c r="A2142" s="323"/>
      <c r="B2142" s="63"/>
      <c r="C2142" s="63"/>
      <c r="D2142" s="63"/>
      <c r="E2142" s="326"/>
      <c r="F2142" s="63"/>
    </row>
    <row r="2143" spans="1:6" ht="20.399999999999999">
      <c r="A2143" s="323"/>
      <c r="B2143" s="63"/>
      <c r="C2143" s="63"/>
      <c r="D2143" s="63"/>
      <c r="E2143" s="326"/>
      <c r="F2143" s="63"/>
    </row>
    <row r="2144" spans="1:6" ht="20.399999999999999">
      <c r="A2144" s="323"/>
      <c r="B2144" s="63"/>
      <c r="C2144" s="63"/>
      <c r="D2144" s="63"/>
      <c r="E2144" s="326"/>
      <c r="F2144" s="63"/>
    </row>
    <row r="2145" spans="1:6" ht="20.399999999999999">
      <c r="A2145" s="323"/>
      <c r="B2145" s="63"/>
      <c r="C2145" s="63"/>
      <c r="D2145" s="63"/>
      <c r="E2145" s="326"/>
      <c r="F2145" s="63"/>
    </row>
    <row r="2146" spans="1:6" ht="20.399999999999999">
      <c r="A2146" s="323"/>
      <c r="B2146" s="63"/>
      <c r="C2146" s="63"/>
      <c r="D2146" s="63"/>
      <c r="E2146" s="326"/>
      <c r="F2146" s="63"/>
    </row>
    <row r="2147" spans="1:6" ht="20.399999999999999">
      <c r="A2147" s="323"/>
      <c r="B2147" s="63"/>
      <c r="C2147" s="63"/>
      <c r="D2147" s="63"/>
      <c r="E2147" s="326"/>
      <c r="F2147" s="63"/>
    </row>
    <row r="2148" spans="1:6" ht="20.399999999999999">
      <c r="A2148" s="323"/>
      <c r="B2148" s="63"/>
      <c r="C2148" s="63"/>
      <c r="D2148" s="63"/>
      <c r="E2148" s="326"/>
      <c r="F2148" s="63"/>
    </row>
    <row r="2149" spans="1:6" ht="20.399999999999999">
      <c r="A2149" s="323"/>
      <c r="B2149" s="63"/>
      <c r="C2149" s="63"/>
      <c r="D2149" s="63"/>
      <c r="E2149" s="326"/>
      <c r="F2149" s="63"/>
    </row>
    <row r="2150" spans="1:6" ht="20.399999999999999">
      <c r="A2150" s="323"/>
      <c r="B2150" s="63"/>
      <c r="C2150" s="63"/>
      <c r="D2150" s="63"/>
      <c r="E2150" s="326"/>
      <c r="F2150" s="63"/>
    </row>
    <row r="2151" spans="1:6" ht="20.399999999999999">
      <c r="A2151" s="323"/>
      <c r="B2151" s="63"/>
      <c r="C2151" s="63"/>
      <c r="D2151" s="63"/>
      <c r="E2151" s="326"/>
      <c r="F2151" s="63"/>
    </row>
    <row r="2152" spans="1:6" ht="20.399999999999999">
      <c r="A2152" s="323"/>
      <c r="B2152" s="63"/>
      <c r="C2152" s="63"/>
      <c r="D2152" s="63"/>
      <c r="E2152" s="326"/>
      <c r="F2152" s="63"/>
    </row>
    <row r="2153" spans="1:6" ht="20.399999999999999">
      <c r="A2153" s="323"/>
      <c r="B2153" s="63"/>
      <c r="C2153" s="63"/>
      <c r="D2153" s="63"/>
      <c r="E2153" s="326"/>
      <c r="F2153" s="63"/>
    </row>
    <row r="2154" spans="1:6" ht="20.399999999999999">
      <c r="A2154" s="323"/>
      <c r="B2154" s="63"/>
      <c r="C2154" s="63"/>
      <c r="D2154" s="63"/>
      <c r="E2154" s="326"/>
      <c r="F2154" s="63"/>
    </row>
    <row r="2155" spans="1:6" ht="20.399999999999999">
      <c r="A2155" s="323"/>
      <c r="B2155" s="63"/>
      <c r="C2155" s="63"/>
      <c r="D2155" s="63"/>
      <c r="E2155" s="326"/>
      <c r="F2155" s="63"/>
    </row>
    <row r="2156" spans="1:6" ht="20.399999999999999">
      <c r="A2156" s="323"/>
      <c r="B2156" s="63"/>
      <c r="C2156" s="63"/>
      <c r="D2156" s="63"/>
      <c r="E2156" s="326"/>
      <c r="F2156" s="63"/>
    </row>
    <row r="2157" spans="1:6" ht="20.399999999999999">
      <c r="A2157" s="323"/>
      <c r="B2157" s="63"/>
      <c r="C2157" s="63"/>
      <c r="D2157" s="63"/>
      <c r="E2157" s="326"/>
      <c r="F2157" s="63"/>
    </row>
    <row r="2158" spans="1:6" ht="20.399999999999999">
      <c r="A2158" s="323"/>
      <c r="B2158" s="63"/>
      <c r="C2158" s="63"/>
      <c r="D2158" s="63"/>
      <c r="E2158" s="326"/>
      <c r="F2158" s="63"/>
    </row>
    <row r="2159" spans="1:6" ht="20.399999999999999">
      <c r="A2159" s="323"/>
      <c r="B2159" s="63"/>
      <c r="C2159" s="63"/>
      <c r="D2159" s="63"/>
      <c r="E2159" s="326"/>
      <c r="F2159" s="63"/>
    </row>
    <row r="2160" spans="1:6" ht="20.399999999999999">
      <c r="A2160" s="323"/>
      <c r="B2160" s="63"/>
      <c r="C2160" s="63"/>
      <c r="D2160" s="63"/>
      <c r="E2160" s="326"/>
      <c r="F2160" s="63"/>
    </row>
    <row r="2161" spans="1:6" ht="20.399999999999999">
      <c r="A2161" s="323"/>
      <c r="B2161" s="63"/>
      <c r="C2161" s="63"/>
      <c r="D2161" s="63"/>
      <c r="E2161" s="326"/>
      <c r="F2161" s="63"/>
    </row>
    <row r="2162" spans="1:6" ht="20.399999999999999">
      <c r="A2162" s="323"/>
      <c r="B2162" s="63"/>
      <c r="C2162" s="63"/>
      <c r="D2162" s="63"/>
      <c r="E2162" s="326"/>
      <c r="F2162" s="63"/>
    </row>
    <row r="2163" spans="1:6" ht="20.399999999999999">
      <c r="A2163" s="323"/>
      <c r="B2163" s="63"/>
      <c r="C2163" s="63"/>
      <c r="D2163" s="63"/>
      <c r="E2163" s="326"/>
      <c r="F2163" s="63"/>
    </row>
    <row r="2164" spans="1:6" ht="20.399999999999999">
      <c r="A2164" s="323"/>
      <c r="B2164" s="63"/>
      <c r="C2164" s="63"/>
      <c r="D2164" s="63"/>
      <c r="E2164" s="326"/>
      <c r="F2164" s="63"/>
    </row>
    <row r="2165" spans="1:6" ht="20.399999999999999">
      <c r="A2165" s="323"/>
      <c r="B2165" s="63"/>
      <c r="C2165" s="63"/>
      <c r="D2165" s="63"/>
      <c r="E2165" s="326"/>
      <c r="F2165" s="63"/>
    </row>
    <row r="2166" spans="1:6" ht="20.399999999999999">
      <c r="A2166" s="323"/>
      <c r="B2166" s="63"/>
      <c r="C2166" s="63"/>
      <c r="D2166" s="63"/>
      <c r="E2166" s="326"/>
      <c r="F2166" s="63"/>
    </row>
    <row r="2167" spans="1:6" ht="20.399999999999999">
      <c r="A2167" s="323"/>
      <c r="B2167" s="63"/>
      <c r="C2167" s="63"/>
      <c r="D2167" s="63"/>
      <c r="E2167" s="326"/>
      <c r="F2167" s="63"/>
    </row>
    <row r="2168" spans="1:6" ht="20.399999999999999">
      <c r="A2168" s="323"/>
      <c r="B2168" s="63"/>
      <c r="C2168" s="63"/>
      <c r="D2168" s="63"/>
      <c r="E2168" s="326"/>
      <c r="F2168" s="63"/>
    </row>
    <row r="2169" spans="1:6" ht="20.399999999999999">
      <c r="A2169" s="323"/>
      <c r="B2169" s="63"/>
      <c r="C2169" s="63"/>
      <c r="D2169" s="63"/>
      <c r="E2169" s="326"/>
      <c r="F2169" s="63"/>
    </row>
    <row r="2170" spans="1:6" ht="20.399999999999999">
      <c r="A2170" s="323"/>
      <c r="B2170" s="63"/>
      <c r="C2170" s="63"/>
      <c r="D2170" s="63"/>
      <c r="E2170" s="326"/>
      <c r="F2170" s="63"/>
    </row>
    <row r="2171" spans="1:6" ht="20.399999999999999">
      <c r="A2171" s="323"/>
      <c r="B2171" s="63"/>
      <c r="C2171" s="63"/>
      <c r="D2171" s="63"/>
      <c r="E2171" s="326"/>
      <c r="F2171" s="63"/>
    </row>
    <row r="2172" spans="1:6" ht="20.399999999999999">
      <c r="A2172" s="323"/>
      <c r="B2172" s="63"/>
      <c r="C2172" s="63"/>
      <c r="D2172" s="63"/>
      <c r="E2172" s="326"/>
      <c r="F2172" s="63"/>
    </row>
    <row r="2173" spans="1:6" ht="20.399999999999999">
      <c r="A2173" s="323"/>
      <c r="B2173" s="63"/>
      <c r="C2173" s="63"/>
      <c r="D2173" s="63"/>
      <c r="E2173" s="326"/>
      <c r="F2173" s="63"/>
    </row>
    <row r="2174" spans="1:6" ht="20.399999999999999">
      <c r="A2174" s="323"/>
      <c r="B2174" s="63"/>
      <c r="C2174" s="63"/>
      <c r="D2174" s="63"/>
      <c r="E2174" s="326"/>
      <c r="F2174" s="63"/>
    </row>
    <row r="2175" spans="1:6" ht="20.399999999999999">
      <c r="A2175" s="323"/>
      <c r="B2175" s="63"/>
      <c r="C2175" s="63"/>
      <c r="D2175" s="63"/>
      <c r="E2175" s="326"/>
      <c r="F2175" s="63"/>
    </row>
    <row r="2176" spans="1:6" ht="20.399999999999999">
      <c r="A2176" s="323"/>
      <c r="B2176" s="63"/>
      <c r="C2176" s="63"/>
      <c r="D2176" s="63"/>
      <c r="E2176" s="326"/>
      <c r="F2176" s="63"/>
    </row>
    <row r="2177" spans="1:6" ht="20.399999999999999">
      <c r="A2177" s="323"/>
      <c r="B2177" s="63"/>
      <c r="C2177" s="63"/>
      <c r="D2177" s="63"/>
      <c r="E2177" s="326"/>
      <c r="F2177" s="63"/>
    </row>
    <row r="2178" spans="1:6" ht="20.399999999999999">
      <c r="A2178" s="323"/>
      <c r="B2178" s="63"/>
      <c r="C2178" s="63"/>
      <c r="D2178" s="63"/>
      <c r="E2178" s="326"/>
      <c r="F2178" s="63"/>
    </row>
    <row r="2179" spans="1:6" ht="20.399999999999999">
      <c r="A2179" s="323"/>
      <c r="B2179" s="63"/>
      <c r="C2179" s="63"/>
      <c r="D2179" s="63"/>
      <c r="E2179" s="326"/>
      <c r="F2179" s="63"/>
    </row>
    <row r="2180" spans="1:6" ht="20.399999999999999">
      <c r="A2180" s="323"/>
      <c r="B2180" s="63"/>
      <c r="C2180" s="63"/>
      <c r="D2180" s="63"/>
      <c r="E2180" s="326"/>
      <c r="F2180" s="63"/>
    </row>
    <row r="2181" spans="1:6" ht="20.399999999999999">
      <c r="A2181" s="323"/>
      <c r="B2181" s="63"/>
      <c r="C2181" s="63"/>
      <c r="D2181" s="63"/>
      <c r="E2181" s="326"/>
      <c r="F2181" s="63"/>
    </row>
    <row r="2182" spans="1:6" ht="20.399999999999999">
      <c r="A2182" s="323"/>
      <c r="B2182" s="63"/>
      <c r="C2182" s="63"/>
      <c r="D2182" s="63"/>
      <c r="E2182" s="326"/>
      <c r="F2182" s="63"/>
    </row>
    <row r="2183" spans="1:6" ht="20.399999999999999">
      <c r="A2183" s="323"/>
      <c r="B2183" s="63"/>
      <c r="C2183" s="63"/>
      <c r="D2183" s="63"/>
      <c r="E2183" s="326"/>
      <c r="F2183" s="63"/>
    </row>
    <row r="2184" spans="1:6" ht="20.399999999999999">
      <c r="A2184" s="323"/>
      <c r="B2184" s="63"/>
      <c r="C2184" s="63"/>
      <c r="D2184" s="63"/>
      <c r="E2184" s="326"/>
      <c r="F2184" s="63"/>
    </row>
    <row r="2185" spans="1:6" ht="20.399999999999999">
      <c r="A2185" s="323"/>
      <c r="B2185" s="63"/>
      <c r="C2185" s="63"/>
      <c r="D2185" s="63"/>
      <c r="E2185" s="326"/>
      <c r="F2185" s="63"/>
    </row>
    <row r="2186" spans="1:6" ht="20.399999999999999">
      <c r="A2186" s="323"/>
      <c r="B2186" s="63"/>
      <c r="C2186" s="63"/>
      <c r="D2186" s="63"/>
      <c r="E2186" s="326"/>
      <c r="F2186" s="63"/>
    </row>
    <row r="2187" spans="1:6" ht="20.399999999999999">
      <c r="A2187" s="323"/>
      <c r="B2187" s="63"/>
      <c r="C2187" s="63"/>
      <c r="D2187" s="63"/>
      <c r="E2187" s="326"/>
      <c r="F2187" s="63"/>
    </row>
    <row r="2188" spans="1:6" ht="20.399999999999999">
      <c r="A2188" s="323"/>
      <c r="B2188" s="63"/>
      <c r="C2188" s="63"/>
      <c r="D2188" s="63"/>
      <c r="E2188" s="326"/>
      <c r="F2188" s="63"/>
    </row>
    <row r="2189" spans="1:6" ht="20.399999999999999">
      <c r="A2189" s="323"/>
      <c r="B2189" s="63"/>
      <c r="C2189" s="63"/>
      <c r="D2189" s="63"/>
      <c r="E2189" s="326"/>
      <c r="F2189" s="63"/>
    </row>
    <row r="2190" spans="1:6" ht="20.399999999999999">
      <c r="A2190" s="323"/>
      <c r="B2190" s="63"/>
      <c r="C2190" s="63"/>
      <c r="D2190" s="63"/>
      <c r="E2190" s="326"/>
      <c r="F2190" s="63"/>
    </row>
    <row r="2191" spans="1:6" ht="20.399999999999999">
      <c r="A2191" s="323"/>
      <c r="B2191" s="63"/>
      <c r="C2191" s="63"/>
      <c r="D2191" s="63"/>
      <c r="E2191" s="326"/>
      <c r="F2191" s="63"/>
    </row>
    <row r="2192" spans="1:6" ht="20.399999999999999">
      <c r="A2192" s="323"/>
      <c r="B2192" s="63"/>
      <c r="C2192" s="63"/>
      <c r="D2192" s="63"/>
      <c r="E2192" s="326"/>
      <c r="F2192" s="63"/>
    </row>
    <row r="2193" spans="1:6" ht="20.399999999999999">
      <c r="A2193" s="323"/>
      <c r="B2193" s="63"/>
      <c r="C2193" s="63"/>
      <c r="D2193" s="63"/>
      <c r="E2193" s="326"/>
      <c r="F2193" s="63"/>
    </row>
    <row r="2194" spans="1:6" ht="20.399999999999999">
      <c r="A2194" s="323"/>
      <c r="B2194" s="63"/>
      <c r="C2194" s="63"/>
      <c r="D2194" s="63"/>
      <c r="E2194" s="326"/>
      <c r="F2194" s="63"/>
    </row>
    <row r="2195" spans="1:6" ht="20.399999999999999">
      <c r="A2195" s="323"/>
      <c r="B2195" s="63"/>
      <c r="C2195" s="63"/>
      <c r="D2195" s="63"/>
      <c r="E2195" s="326"/>
      <c r="F2195" s="63"/>
    </row>
    <row r="2196" spans="1:6" ht="20.399999999999999">
      <c r="A2196" s="323"/>
      <c r="B2196" s="63"/>
      <c r="C2196" s="63"/>
      <c r="D2196" s="63"/>
      <c r="E2196" s="326"/>
      <c r="F2196" s="63"/>
    </row>
    <row r="2197" spans="1:6" ht="20.399999999999999">
      <c r="A2197" s="323"/>
      <c r="B2197" s="63"/>
      <c r="C2197" s="63"/>
      <c r="D2197" s="63"/>
      <c r="E2197" s="326"/>
      <c r="F2197" s="63"/>
    </row>
    <row r="2198" spans="1:6" ht="20.399999999999999">
      <c r="A2198" s="323"/>
      <c r="B2198" s="63"/>
      <c r="C2198" s="63"/>
      <c r="D2198" s="63"/>
      <c r="E2198" s="326"/>
      <c r="F2198" s="63"/>
    </row>
    <row r="2199" spans="1:6" ht="20.399999999999999">
      <c r="A2199" s="323"/>
      <c r="B2199" s="63"/>
      <c r="C2199" s="63"/>
      <c r="D2199" s="63"/>
      <c r="E2199" s="326"/>
      <c r="F2199" s="63"/>
    </row>
    <row r="2200" spans="1:6" ht="20.399999999999999">
      <c r="A2200" s="323"/>
      <c r="B2200" s="63"/>
      <c r="C2200" s="63"/>
      <c r="D2200" s="63"/>
      <c r="E2200" s="326"/>
      <c r="F2200" s="63"/>
    </row>
    <row r="2201" spans="1:6" ht="20.399999999999999">
      <c r="A2201" s="323"/>
      <c r="B2201" s="63"/>
      <c r="C2201" s="63"/>
      <c r="D2201" s="63"/>
      <c r="E2201" s="326"/>
      <c r="F2201" s="63"/>
    </row>
    <row r="2202" spans="1:6" ht="20.399999999999999">
      <c r="A2202" s="323"/>
      <c r="B2202" s="63"/>
      <c r="C2202" s="63"/>
      <c r="D2202" s="63"/>
      <c r="E2202" s="326"/>
      <c r="F2202" s="63"/>
    </row>
    <row r="2203" spans="1:6" ht="20.399999999999999">
      <c r="A2203" s="323"/>
      <c r="B2203" s="63"/>
      <c r="C2203" s="63"/>
      <c r="D2203" s="63"/>
      <c r="E2203" s="326"/>
      <c r="F2203" s="63"/>
    </row>
    <row r="2204" spans="1:6" ht="20.399999999999999">
      <c r="A2204" s="323"/>
      <c r="B2204" s="63"/>
      <c r="C2204" s="63"/>
      <c r="D2204" s="63"/>
      <c r="E2204" s="326"/>
      <c r="F2204" s="63"/>
    </row>
    <row r="2205" spans="1:6" ht="20.399999999999999">
      <c r="A2205" s="323"/>
      <c r="B2205" s="63"/>
      <c r="C2205" s="63"/>
      <c r="D2205" s="63"/>
      <c r="E2205" s="326"/>
      <c r="F2205" s="63"/>
    </row>
    <row r="2206" spans="1:6" ht="20.399999999999999">
      <c r="A2206" s="323"/>
      <c r="B2206" s="63"/>
      <c r="C2206" s="63"/>
      <c r="D2206" s="63"/>
      <c r="E2206" s="326"/>
      <c r="F2206" s="63"/>
    </row>
    <row r="2207" spans="1:6" ht="20.399999999999999">
      <c r="A2207" s="323"/>
      <c r="B2207" s="63"/>
      <c r="C2207" s="63"/>
      <c r="D2207" s="63"/>
      <c r="E2207" s="326"/>
      <c r="F2207" s="63"/>
    </row>
    <row r="2208" spans="1:6" ht="20.399999999999999">
      <c r="A2208" s="323"/>
      <c r="B2208" s="63"/>
      <c r="C2208" s="63"/>
      <c r="D2208" s="63"/>
      <c r="E2208" s="326"/>
      <c r="F2208" s="63"/>
    </row>
    <row r="2209" spans="1:6" ht="20.399999999999999">
      <c r="A2209" s="323"/>
      <c r="B2209" s="63"/>
      <c r="C2209" s="63"/>
      <c r="D2209" s="63"/>
      <c r="E2209" s="326"/>
      <c r="F2209" s="63"/>
    </row>
    <row r="2210" spans="1:6" ht="20.399999999999999">
      <c r="A2210" s="323"/>
      <c r="B2210" s="63"/>
      <c r="C2210" s="63"/>
      <c r="D2210" s="63"/>
      <c r="E2210" s="326"/>
      <c r="F2210" s="63"/>
    </row>
    <row r="2211" spans="1:6" ht="20.399999999999999">
      <c r="A2211" s="323"/>
      <c r="B2211" s="63"/>
      <c r="C2211" s="63"/>
      <c r="D2211" s="63"/>
      <c r="E2211" s="326"/>
      <c r="F2211" s="63"/>
    </row>
    <row r="2212" spans="1:6" ht="20.399999999999999">
      <c r="A2212" s="323"/>
      <c r="B2212" s="63"/>
      <c r="C2212" s="63"/>
      <c r="D2212" s="63"/>
      <c r="E2212" s="326"/>
      <c r="F2212" s="63"/>
    </row>
    <row r="2213" spans="1:6" ht="20.399999999999999">
      <c r="A2213" s="323"/>
      <c r="B2213" s="63"/>
      <c r="C2213" s="63"/>
      <c r="D2213" s="63"/>
      <c r="E2213" s="326"/>
      <c r="F2213" s="63"/>
    </row>
    <row r="2214" spans="1:6" ht="20.399999999999999">
      <c r="A2214" s="323"/>
      <c r="B2214" s="63"/>
      <c r="C2214" s="63"/>
      <c r="D2214" s="63"/>
      <c r="E2214" s="326"/>
      <c r="F2214" s="63"/>
    </row>
    <row r="2215" spans="1:6" ht="20.399999999999999">
      <c r="A2215" s="323"/>
      <c r="B2215" s="63"/>
      <c r="C2215" s="63"/>
      <c r="D2215" s="63"/>
      <c r="E2215" s="326"/>
      <c r="F2215" s="63"/>
    </row>
    <row r="2216" spans="1:6" ht="20.399999999999999">
      <c r="A2216" s="323"/>
      <c r="B2216" s="63"/>
      <c r="C2216" s="63"/>
      <c r="D2216" s="63"/>
      <c r="E2216" s="326"/>
      <c r="F2216" s="63"/>
    </row>
    <row r="2217" spans="1:6" ht="20.399999999999999">
      <c r="A2217" s="323"/>
      <c r="B2217" s="63"/>
      <c r="C2217" s="63"/>
      <c r="D2217" s="63"/>
      <c r="E2217" s="326"/>
      <c r="F2217" s="63"/>
    </row>
    <row r="2218" spans="1:6" ht="20.399999999999999">
      <c r="A2218" s="323"/>
      <c r="B2218" s="63"/>
      <c r="C2218" s="63"/>
      <c r="D2218" s="63"/>
      <c r="E2218" s="326"/>
      <c r="F2218" s="63"/>
    </row>
    <row r="2219" spans="1:6" ht="20.399999999999999">
      <c r="A2219" s="323"/>
      <c r="B2219" s="63"/>
      <c r="C2219" s="63"/>
      <c r="D2219" s="63"/>
      <c r="E2219" s="326"/>
      <c r="F2219" s="63"/>
    </row>
    <row r="2220" spans="1:6" ht="20.399999999999999">
      <c r="A2220" s="323"/>
      <c r="B2220" s="63"/>
      <c r="C2220" s="63"/>
      <c r="D2220" s="63"/>
      <c r="E2220" s="326"/>
      <c r="F2220" s="63"/>
    </row>
    <row r="2221" spans="1:6" ht="20.399999999999999">
      <c r="A2221" s="323"/>
      <c r="B2221" s="63"/>
      <c r="C2221" s="63"/>
      <c r="D2221" s="63"/>
      <c r="E2221" s="326"/>
      <c r="F2221" s="63"/>
    </row>
    <row r="2222" spans="1:6" ht="20.399999999999999">
      <c r="A2222" s="323"/>
      <c r="B2222" s="63"/>
      <c r="C2222" s="63"/>
      <c r="D2222" s="63"/>
      <c r="E2222" s="326"/>
      <c r="F2222" s="63"/>
    </row>
    <row r="2223" spans="1:6" ht="20.399999999999999">
      <c r="A2223" s="323"/>
      <c r="B2223" s="63"/>
      <c r="C2223" s="63"/>
      <c r="D2223" s="63"/>
      <c r="E2223" s="326"/>
      <c r="F2223" s="63"/>
    </row>
    <row r="2224" spans="1:6" ht="20.399999999999999">
      <c r="A2224" s="323"/>
      <c r="B2224" s="63"/>
      <c r="C2224" s="63"/>
      <c r="D2224" s="63"/>
      <c r="E2224" s="326"/>
      <c r="F2224" s="63"/>
    </row>
    <row r="2225" spans="1:6" ht="20.399999999999999">
      <c r="A2225" s="323"/>
      <c r="B2225" s="63"/>
      <c r="C2225" s="63"/>
      <c r="D2225" s="63"/>
      <c r="E2225" s="326"/>
      <c r="F2225" s="63"/>
    </row>
    <row r="2226" spans="1:6" ht="20.399999999999999">
      <c r="A2226" s="323"/>
      <c r="B2226" s="63"/>
      <c r="C2226" s="63"/>
      <c r="D2226" s="63"/>
      <c r="E2226" s="326"/>
      <c r="F2226" s="63"/>
    </row>
    <row r="2227" spans="1:6" ht="20.399999999999999">
      <c r="A2227" s="323"/>
      <c r="B2227" s="63"/>
      <c r="C2227" s="63"/>
      <c r="D2227" s="63"/>
      <c r="E2227" s="326"/>
      <c r="F2227" s="63"/>
    </row>
    <row r="2228" spans="1:6" ht="20.399999999999999">
      <c r="A2228" s="323"/>
      <c r="B2228" s="63"/>
      <c r="C2228" s="63"/>
      <c r="D2228" s="63"/>
      <c r="E2228" s="326"/>
      <c r="F2228" s="63"/>
    </row>
    <row r="2229" spans="1:6" ht="20.399999999999999">
      <c r="A2229" s="323"/>
      <c r="B2229" s="63"/>
      <c r="C2229" s="63"/>
      <c r="D2229" s="63"/>
      <c r="E2229" s="326"/>
      <c r="F2229" s="63"/>
    </row>
    <row r="2230" spans="1:6" ht="20.399999999999999">
      <c r="A2230" s="323"/>
      <c r="B2230" s="63"/>
      <c r="C2230" s="63"/>
      <c r="D2230" s="63"/>
      <c r="E2230" s="326"/>
      <c r="F2230" s="63"/>
    </row>
    <row r="2231" spans="1:6" ht="20.399999999999999">
      <c r="A2231" s="323"/>
      <c r="B2231" s="63"/>
      <c r="C2231" s="63"/>
      <c r="D2231" s="63"/>
      <c r="E2231" s="326"/>
      <c r="F2231" s="63"/>
    </row>
    <row r="2232" spans="1:6" ht="20.399999999999999">
      <c r="A2232" s="323"/>
      <c r="B2232" s="63"/>
      <c r="C2232" s="63"/>
      <c r="D2232" s="63"/>
      <c r="E2232" s="326"/>
      <c r="F2232" s="63"/>
    </row>
    <row r="2233" spans="1:6" ht="20.399999999999999">
      <c r="A2233" s="323"/>
      <c r="B2233" s="63"/>
      <c r="C2233" s="63"/>
      <c r="D2233" s="63"/>
      <c r="E2233" s="326"/>
      <c r="F2233" s="63"/>
    </row>
    <row r="2234" spans="1:6" ht="20.399999999999999">
      <c r="A2234" s="323"/>
      <c r="B2234" s="63"/>
      <c r="C2234" s="63"/>
      <c r="D2234" s="63"/>
      <c r="E2234" s="326"/>
      <c r="F2234" s="63"/>
    </row>
    <row r="2235" spans="1:6" ht="20.399999999999999">
      <c r="A2235" s="323"/>
      <c r="B2235" s="63"/>
      <c r="C2235" s="63"/>
      <c r="D2235" s="63"/>
      <c r="E2235" s="326"/>
      <c r="F2235" s="63"/>
    </row>
    <row r="2236" spans="1:6" ht="20.399999999999999">
      <c r="A2236" s="323"/>
      <c r="B2236" s="63"/>
      <c r="C2236" s="63"/>
      <c r="D2236" s="63"/>
      <c r="E2236" s="326"/>
      <c r="F2236" s="63"/>
    </row>
    <row r="2237" spans="1:6" ht="20.399999999999999">
      <c r="A2237" s="323"/>
      <c r="B2237" s="63"/>
      <c r="C2237" s="63"/>
      <c r="D2237" s="63"/>
      <c r="E2237" s="326"/>
      <c r="F2237" s="63"/>
    </row>
    <row r="2238" spans="1:6" ht="20.399999999999999">
      <c r="A2238" s="323"/>
      <c r="B2238" s="63"/>
      <c r="C2238" s="63"/>
      <c r="D2238" s="63"/>
      <c r="E2238" s="326"/>
      <c r="F2238" s="63"/>
    </row>
    <row r="2239" spans="1:6" ht="20.399999999999999">
      <c r="A2239" s="323"/>
      <c r="B2239" s="63"/>
      <c r="C2239" s="63"/>
      <c r="D2239" s="63"/>
      <c r="E2239" s="326"/>
      <c r="F2239" s="63"/>
    </row>
    <row r="2240" spans="1:6" ht="20.399999999999999">
      <c r="A2240" s="323"/>
      <c r="B2240" s="63"/>
      <c r="C2240" s="63"/>
      <c r="D2240" s="63"/>
      <c r="E2240" s="326"/>
      <c r="F2240" s="63"/>
    </row>
    <row r="2241" spans="1:6" ht="20.399999999999999">
      <c r="A2241" s="323"/>
      <c r="B2241" s="63"/>
      <c r="C2241" s="63"/>
      <c r="D2241" s="63"/>
      <c r="E2241" s="326"/>
      <c r="F2241" s="63"/>
    </row>
    <row r="2242" spans="1:6" ht="20.399999999999999">
      <c r="A2242" s="323"/>
      <c r="B2242" s="63"/>
      <c r="C2242" s="63"/>
      <c r="D2242" s="63"/>
      <c r="E2242" s="326"/>
      <c r="F2242" s="63"/>
    </row>
    <row r="2243" spans="1:6" ht="20.399999999999999">
      <c r="A2243" s="323"/>
      <c r="B2243" s="63"/>
      <c r="C2243" s="63"/>
      <c r="D2243" s="63"/>
      <c r="E2243" s="326"/>
      <c r="F2243" s="63"/>
    </row>
    <row r="2244" spans="1:6" ht="20.399999999999999">
      <c r="A2244" s="323"/>
      <c r="B2244" s="63"/>
      <c r="C2244" s="63"/>
      <c r="D2244" s="63"/>
      <c r="E2244" s="326"/>
      <c r="F2244" s="63"/>
    </row>
    <row r="2245" spans="1:6" ht="20.399999999999999">
      <c r="A2245" s="323"/>
      <c r="B2245" s="63"/>
      <c r="C2245" s="63"/>
      <c r="D2245" s="63"/>
      <c r="E2245" s="326"/>
      <c r="F2245" s="63"/>
    </row>
    <row r="2246" spans="1:6" ht="20.399999999999999">
      <c r="A2246" s="323"/>
      <c r="B2246" s="63"/>
      <c r="C2246" s="63"/>
      <c r="D2246" s="63"/>
      <c r="E2246" s="326"/>
      <c r="F2246" s="63"/>
    </row>
    <row r="2247" spans="1:6" ht="20.399999999999999">
      <c r="A2247" s="323"/>
      <c r="B2247" s="63"/>
      <c r="C2247" s="63"/>
      <c r="D2247" s="63"/>
      <c r="E2247" s="326"/>
      <c r="F2247" s="63"/>
    </row>
    <row r="2248" spans="1:6" ht="20.399999999999999">
      <c r="A2248" s="323"/>
      <c r="B2248" s="63"/>
      <c r="C2248" s="63"/>
      <c r="D2248" s="63"/>
      <c r="E2248" s="326"/>
      <c r="F2248" s="63"/>
    </row>
    <row r="2249" spans="1:6" ht="20.399999999999999">
      <c r="A2249" s="323"/>
      <c r="B2249" s="63"/>
      <c r="C2249" s="63"/>
      <c r="D2249" s="63"/>
      <c r="E2249" s="326"/>
      <c r="F2249" s="63"/>
    </row>
    <row r="2250" spans="1:6" ht="20.399999999999999">
      <c r="A2250" s="323"/>
      <c r="B2250" s="63"/>
      <c r="C2250" s="63"/>
      <c r="D2250" s="63"/>
      <c r="E2250" s="326"/>
      <c r="F2250" s="63"/>
    </row>
    <row r="2251" spans="1:6" ht="20.399999999999999">
      <c r="A2251" s="323"/>
      <c r="B2251" s="63"/>
      <c r="C2251" s="63"/>
      <c r="D2251" s="63"/>
      <c r="E2251" s="326"/>
      <c r="F2251" s="63"/>
    </row>
    <row r="2252" spans="1:6" ht="20.399999999999999">
      <c r="A2252" s="323"/>
      <c r="B2252" s="63"/>
      <c r="C2252" s="63"/>
      <c r="D2252" s="63"/>
      <c r="E2252" s="326"/>
      <c r="F2252" s="63"/>
    </row>
    <row r="2253" spans="1:6" ht="20.399999999999999">
      <c r="A2253" s="323"/>
      <c r="B2253" s="63"/>
      <c r="C2253" s="63"/>
      <c r="D2253" s="63"/>
      <c r="E2253" s="326"/>
      <c r="F2253" s="63"/>
    </row>
    <row r="2254" spans="1:6" ht="20.399999999999999">
      <c r="A2254" s="323"/>
      <c r="B2254" s="63"/>
      <c r="C2254" s="63"/>
      <c r="D2254" s="63"/>
      <c r="E2254" s="326"/>
      <c r="F2254" s="63"/>
    </row>
    <row r="2255" spans="1:6" ht="20.399999999999999">
      <c r="A2255" s="323"/>
      <c r="B2255" s="63"/>
      <c r="C2255" s="63"/>
      <c r="D2255" s="63"/>
      <c r="E2255" s="326"/>
      <c r="F2255" s="63"/>
    </row>
    <row r="2256" spans="1:6" ht="20.399999999999999">
      <c r="A2256" s="323"/>
      <c r="B2256" s="63"/>
      <c r="C2256" s="63"/>
      <c r="D2256" s="63"/>
      <c r="E2256" s="326"/>
      <c r="F2256" s="63"/>
    </row>
    <row r="2257" spans="1:6" ht="20.399999999999999">
      <c r="A2257" s="323"/>
      <c r="B2257" s="63"/>
      <c r="C2257" s="63"/>
      <c r="D2257" s="63"/>
      <c r="E2257" s="326"/>
      <c r="F2257" s="63"/>
    </row>
    <row r="2258" spans="1:6" ht="20.399999999999999">
      <c r="A2258" s="323"/>
      <c r="B2258" s="63"/>
      <c r="C2258" s="63"/>
      <c r="D2258" s="63"/>
      <c r="E2258" s="326"/>
      <c r="F2258" s="63"/>
    </row>
    <row r="2259" spans="1:6" ht="20.399999999999999">
      <c r="A2259" s="323"/>
      <c r="B2259" s="63"/>
      <c r="C2259" s="63"/>
      <c r="D2259" s="63"/>
      <c r="E2259" s="326"/>
      <c r="F2259" s="63"/>
    </row>
    <row r="2260" spans="1:6" ht="20.399999999999999">
      <c r="A2260" s="323"/>
      <c r="B2260" s="63"/>
      <c r="C2260" s="63"/>
      <c r="D2260" s="63"/>
      <c r="E2260" s="326"/>
      <c r="F2260" s="63"/>
    </row>
    <row r="2261" spans="1:6" ht="20.399999999999999">
      <c r="A2261" s="323"/>
      <c r="B2261" s="63"/>
      <c r="C2261" s="63"/>
      <c r="D2261" s="63"/>
      <c r="E2261" s="326"/>
      <c r="F2261" s="63"/>
    </row>
    <row r="2262" spans="1:6" ht="20.399999999999999">
      <c r="A2262" s="323"/>
      <c r="B2262" s="63"/>
      <c r="C2262" s="63"/>
      <c r="D2262" s="63"/>
      <c r="E2262" s="326"/>
      <c r="F2262" s="63"/>
    </row>
    <row r="2263" spans="1:6" ht="20.399999999999999">
      <c r="A2263" s="323"/>
      <c r="B2263" s="63"/>
      <c r="C2263" s="63"/>
      <c r="D2263" s="63"/>
      <c r="E2263" s="326"/>
      <c r="F2263" s="63"/>
    </row>
    <row r="2264" spans="1:6" ht="20.399999999999999">
      <c r="A2264" s="323"/>
      <c r="B2264" s="63"/>
      <c r="C2264" s="63"/>
      <c r="D2264" s="63"/>
      <c r="E2264" s="326"/>
      <c r="F2264" s="63"/>
    </row>
    <row r="2265" spans="1:6" ht="20.399999999999999">
      <c r="A2265" s="323"/>
      <c r="B2265" s="63"/>
      <c r="C2265" s="63"/>
      <c r="D2265" s="63"/>
      <c r="E2265" s="326"/>
      <c r="F2265" s="63"/>
    </row>
    <row r="2266" spans="1:6" ht="20.399999999999999">
      <c r="A2266" s="323"/>
      <c r="B2266" s="63"/>
      <c r="C2266" s="63"/>
      <c r="D2266" s="63"/>
      <c r="E2266" s="326"/>
      <c r="F2266" s="63"/>
    </row>
    <row r="2267" spans="1:6" ht="20.399999999999999">
      <c r="A2267" s="323"/>
      <c r="B2267" s="63"/>
      <c r="C2267" s="63"/>
      <c r="D2267" s="63"/>
      <c r="E2267" s="326"/>
      <c r="F2267" s="63"/>
    </row>
    <row r="2268" spans="1:6" ht="20.399999999999999">
      <c r="A2268" s="323"/>
      <c r="B2268" s="63"/>
      <c r="C2268" s="63"/>
      <c r="D2268" s="63"/>
      <c r="E2268" s="326"/>
      <c r="F2268" s="63"/>
    </row>
    <row r="2269" spans="1:6" ht="20.399999999999999">
      <c r="A2269" s="323"/>
      <c r="B2269" s="63"/>
      <c r="C2269" s="63"/>
      <c r="D2269" s="63"/>
      <c r="E2269" s="326"/>
      <c r="F2269" s="63"/>
    </row>
    <row r="2270" spans="1:6" ht="20.399999999999999">
      <c r="A2270" s="323"/>
      <c r="B2270" s="63"/>
      <c r="C2270" s="63"/>
      <c r="D2270" s="63"/>
      <c r="E2270" s="326"/>
      <c r="F2270" s="63"/>
    </row>
    <row r="2271" spans="1:6" ht="20.399999999999999">
      <c r="A2271" s="323"/>
      <c r="B2271" s="63"/>
      <c r="C2271" s="63"/>
      <c r="D2271" s="63"/>
      <c r="E2271" s="326"/>
      <c r="F2271" s="63"/>
    </row>
    <row r="2272" spans="1:6" ht="20.399999999999999">
      <c r="A2272" s="323"/>
      <c r="B2272" s="63"/>
      <c r="C2272" s="63"/>
      <c r="D2272" s="63"/>
      <c r="E2272" s="326"/>
      <c r="F2272" s="63"/>
    </row>
    <row r="2273" spans="1:6" ht="20.399999999999999">
      <c r="A2273" s="323"/>
      <c r="B2273" s="63"/>
      <c r="C2273" s="63"/>
      <c r="D2273" s="63"/>
      <c r="E2273" s="326"/>
      <c r="F2273" s="63"/>
    </row>
    <row r="2274" spans="1:6" ht="20.399999999999999">
      <c r="A2274" s="323"/>
      <c r="B2274" s="63"/>
      <c r="C2274" s="63"/>
      <c r="D2274" s="63"/>
      <c r="E2274" s="326"/>
      <c r="F2274" s="63"/>
    </row>
    <row r="2275" spans="1:6" ht="20.399999999999999">
      <c r="A2275" s="323"/>
      <c r="B2275" s="63"/>
      <c r="C2275" s="63"/>
      <c r="D2275" s="63"/>
      <c r="E2275" s="326"/>
      <c r="F2275" s="63"/>
    </row>
    <row r="2276" spans="1:6" ht="20.399999999999999">
      <c r="A2276" s="323"/>
      <c r="B2276" s="63"/>
      <c r="C2276" s="63"/>
      <c r="D2276" s="63"/>
      <c r="E2276" s="326"/>
      <c r="F2276" s="63"/>
    </row>
    <row r="2277" spans="1:6" ht="20.399999999999999">
      <c r="A2277" s="323"/>
      <c r="B2277" s="63"/>
      <c r="C2277" s="63"/>
      <c r="D2277" s="63"/>
      <c r="E2277" s="326"/>
      <c r="F2277" s="63"/>
    </row>
    <row r="2278" spans="1:6" ht="20.399999999999999">
      <c r="A2278" s="323"/>
      <c r="B2278" s="63"/>
      <c r="C2278" s="63"/>
      <c r="D2278" s="63"/>
      <c r="E2278" s="326"/>
      <c r="F2278" s="63"/>
    </row>
    <row r="2279" spans="1:6" ht="20.399999999999999">
      <c r="A2279" s="323"/>
      <c r="B2279" s="63"/>
      <c r="C2279" s="63"/>
      <c r="D2279" s="63"/>
      <c r="E2279" s="326"/>
      <c r="F2279" s="63"/>
    </row>
    <row r="2280" spans="1:6" ht="20.399999999999999">
      <c r="A2280" s="323"/>
      <c r="B2280" s="63"/>
      <c r="C2280" s="63"/>
      <c r="D2280" s="63"/>
      <c r="E2280" s="326"/>
      <c r="F2280" s="63"/>
    </row>
    <row r="2281" spans="1:6" ht="20.399999999999999">
      <c r="A2281" s="323"/>
      <c r="B2281" s="63"/>
      <c r="C2281" s="63"/>
      <c r="D2281" s="63"/>
      <c r="E2281" s="326"/>
      <c r="F2281" s="63"/>
    </row>
    <row r="2282" spans="1:6" ht="20.399999999999999">
      <c r="A2282" s="323"/>
      <c r="B2282" s="63"/>
      <c r="C2282" s="63"/>
      <c r="D2282" s="63"/>
      <c r="E2282" s="326"/>
      <c r="F2282" s="63"/>
    </row>
    <row r="2283" spans="1:6" ht="20.399999999999999">
      <c r="A2283" s="323"/>
      <c r="B2283" s="63"/>
      <c r="C2283" s="63"/>
      <c r="D2283" s="63"/>
      <c r="E2283" s="326"/>
      <c r="F2283" s="63"/>
    </row>
    <row r="2284" spans="1:6" ht="20.399999999999999">
      <c r="A2284" s="323"/>
      <c r="B2284" s="63"/>
      <c r="C2284" s="63"/>
      <c r="D2284" s="63"/>
      <c r="E2284" s="326"/>
      <c r="F2284" s="63"/>
    </row>
    <row r="2285" spans="1:6" ht="20.399999999999999">
      <c r="A2285" s="323"/>
      <c r="B2285" s="63"/>
      <c r="C2285" s="63"/>
      <c r="D2285" s="63"/>
      <c r="E2285" s="326"/>
      <c r="F2285" s="63"/>
    </row>
    <row r="2286" spans="1:6" ht="20.399999999999999">
      <c r="A2286" s="323"/>
      <c r="B2286" s="63"/>
      <c r="C2286" s="63"/>
      <c r="D2286" s="63"/>
      <c r="E2286" s="326"/>
      <c r="F2286" s="63"/>
    </row>
    <row r="2287" spans="1:6" ht="20.399999999999999">
      <c r="A2287" s="323"/>
      <c r="B2287" s="63"/>
      <c r="C2287" s="63"/>
      <c r="D2287" s="63"/>
      <c r="E2287" s="326"/>
      <c r="F2287" s="63"/>
    </row>
    <row r="2288" spans="1:6" ht="20.399999999999999">
      <c r="A2288" s="323"/>
      <c r="B2288" s="63"/>
      <c r="C2288" s="63"/>
      <c r="D2288" s="63"/>
      <c r="E2288" s="326"/>
      <c r="F2288" s="63"/>
    </row>
    <row r="2289" spans="1:6" ht="20.399999999999999">
      <c r="A2289" s="323"/>
      <c r="B2289" s="63"/>
      <c r="C2289" s="63"/>
      <c r="D2289" s="63"/>
      <c r="E2289" s="326"/>
      <c r="F2289" s="63"/>
    </row>
    <row r="2290" spans="1:6" ht="20.399999999999999">
      <c r="A2290" s="323"/>
      <c r="B2290" s="63"/>
      <c r="C2290" s="63"/>
      <c r="D2290" s="63"/>
      <c r="E2290" s="326"/>
      <c r="F2290" s="63"/>
    </row>
    <row r="2291" spans="1:6" ht="20.399999999999999">
      <c r="A2291" s="323"/>
      <c r="B2291" s="63"/>
      <c r="C2291" s="63"/>
      <c r="D2291" s="63"/>
      <c r="E2291" s="326"/>
      <c r="F2291" s="63"/>
    </row>
    <row r="2292" spans="1:6" ht="20.399999999999999">
      <c r="A2292" s="323"/>
      <c r="B2292" s="63"/>
      <c r="C2292" s="63"/>
      <c r="D2292" s="63"/>
      <c r="E2292" s="326"/>
      <c r="F2292" s="63"/>
    </row>
    <row r="2293" spans="1:6" ht="20.399999999999999">
      <c r="A2293" s="323"/>
      <c r="B2293" s="63"/>
      <c r="C2293" s="63"/>
      <c r="D2293" s="63"/>
      <c r="E2293" s="326"/>
      <c r="F2293" s="63"/>
    </row>
    <row r="2294" spans="1:6" ht="20.399999999999999">
      <c r="A2294" s="323"/>
      <c r="B2294" s="63"/>
      <c r="C2294" s="63"/>
      <c r="D2294" s="63"/>
      <c r="E2294" s="326"/>
      <c r="F2294" s="63"/>
    </row>
    <row r="2295" spans="1:6" ht="20.399999999999999">
      <c r="A2295" s="323"/>
      <c r="B2295" s="63"/>
      <c r="C2295" s="63"/>
      <c r="D2295" s="63"/>
      <c r="E2295" s="326"/>
      <c r="F2295" s="63"/>
    </row>
    <row r="2296" spans="1:6" ht="20.399999999999999">
      <c r="A2296" s="323"/>
      <c r="B2296" s="63"/>
      <c r="C2296" s="63"/>
      <c r="D2296" s="63"/>
      <c r="E2296" s="326"/>
      <c r="F2296" s="63"/>
    </row>
    <row r="2297" spans="1:6" ht="20.399999999999999">
      <c r="A2297" s="323"/>
      <c r="B2297" s="63"/>
      <c r="C2297" s="63"/>
      <c r="D2297" s="63"/>
      <c r="E2297" s="326"/>
      <c r="F2297" s="63"/>
    </row>
    <row r="2298" spans="1:6" ht="20.399999999999999">
      <c r="A2298" s="323"/>
      <c r="B2298" s="63"/>
      <c r="C2298" s="63"/>
      <c r="D2298" s="63"/>
      <c r="E2298" s="326"/>
      <c r="F2298" s="63"/>
    </row>
    <row r="2299" spans="1:6" ht="20.399999999999999">
      <c r="A2299" s="323"/>
      <c r="B2299" s="63"/>
      <c r="C2299" s="63"/>
      <c r="D2299" s="63"/>
      <c r="E2299" s="326"/>
      <c r="F2299" s="63"/>
    </row>
    <row r="2300" spans="1:6" ht="20.399999999999999">
      <c r="A2300" s="323"/>
      <c r="B2300" s="63"/>
      <c r="C2300" s="63"/>
      <c r="D2300" s="63"/>
      <c r="E2300" s="326"/>
      <c r="F2300" s="63"/>
    </row>
    <row r="2301" spans="1:6" ht="20.399999999999999">
      <c r="A2301" s="323"/>
      <c r="B2301" s="63"/>
      <c r="C2301" s="63"/>
      <c r="D2301" s="63"/>
      <c r="E2301" s="326"/>
      <c r="F2301" s="63"/>
    </row>
    <row r="2302" spans="1:6" ht="20.399999999999999">
      <c r="A2302" s="323"/>
      <c r="B2302" s="63"/>
      <c r="C2302" s="63"/>
      <c r="D2302" s="63"/>
      <c r="E2302" s="326"/>
      <c r="F2302" s="63"/>
    </row>
    <row r="2303" spans="1:6" ht="20.399999999999999">
      <c r="A2303" s="323"/>
      <c r="B2303" s="63"/>
      <c r="C2303" s="63"/>
      <c r="D2303" s="63"/>
      <c r="E2303" s="326"/>
      <c r="F2303" s="63"/>
    </row>
    <row r="2304" spans="1:6" ht="20.399999999999999">
      <c r="A2304" s="323"/>
      <c r="B2304" s="63"/>
      <c r="C2304" s="63"/>
      <c r="D2304" s="63"/>
      <c r="E2304" s="326"/>
      <c r="F2304" s="63"/>
    </row>
    <row r="2305" spans="1:6" ht="20.399999999999999">
      <c r="A2305" s="323"/>
      <c r="B2305" s="63"/>
      <c r="C2305" s="63"/>
      <c r="D2305" s="63"/>
      <c r="E2305" s="326"/>
      <c r="F2305" s="63"/>
    </row>
    <row r="2306" spans="1:6" ht="20.399999999999999">
      <c r="A2306" s="323"/>
      <c r="B2306" s="63"/>
      <c r="C2306" s="63"/>
      <c r="D2306" s="63"/>
      <c r="E2306" s="326"/>
      <c r="F2306" s="63"/>
    </row>
    <row r="2307" spans="1:6" ht="20.399999999999999">
      <c r="A2307" s="323"/>
      <c r="B2307" s="63"/>
      <c r="C2307" s="63"/>
      <c r="D2307" s="63"/>
      <c r="E2307" s="326"/>
      <c r="F2307" s="63"/>
    </row>
    <row r="2308" spans="1:6" ht="20.399999999999999">
      <c r="A2308" s="323"/>
      <c r="B2308" s="63"/>
      <c r="C2308" s="63"/>
      <c r="D2308" s="63"/>
      <c r="E2308" s="326"/>
      <c r="F2308" s="63"/>
    </row>
    <row r="2309" spans="1:6" ht="20.399999999999999">
      <c r="A2309" s="323"/>
      <c r="B2309" s="63"/>
      <c r="C2309" s="63"/>
      <c r="D2309" s="63"/>
      <c r="E2309" s="326"/>
      <c r="F2309" s="63"/>
    </row>
    <row r="2310" spans="1:6" ht="20.399999999999999">
      <c r="A2310" s="323"/>
      <c r="B2310" s="63"/>
      <c r="C2310" s="63"/>
      <c r="D2310" s="63"/>
      <c r="E2310" s="326"/>
      <c r="F2310" s="63"/>
    </row>
    <row r="2311" spans="1:6" ht="20.399999999999999">
      <c r="A2311" s="323"/>
      <c r="B2311" s="63"/>
      <c r="C2311" s="63"/>
      <c r="D2311" s="63"/>
      <c r="E2311" s="326"/>
      <c r="F2311" s="63"/>
    </row>
    <row r="2312" spans="1:6" ht="20.399999999999999">
      <c r="A2312" s="323"/>
      <c r="B2312" s="63"/>
      <c r="C2312" s="63"/>
      <c r="D2312" s="63"/>
      <c r="E2312" s="326"/>
      <c r="F2312" s="63"/>
    </row>
    <row r="2313" spans="1:6" ht="20.399999999999999">
      <c r="A2313" s="323"/>
      <c r="B2313" s="63"/>
      <c r="C2313" s="63"/>
      <c r="D2313" s="63"/>
      <c r="E2313" s="326"/>
      <c r="F2313" s="63"/>
    </row>
    <row r="2314" spans="1:6" ht="20.399999999999999">
      <c r="A2314" s="323"/>
      <c r="B2314" s="63"/>
      <c r="C2314" s="63"/>
      <c r="D2314" s="63"/>
      <c r="E2314" s="326"/>
      <c r="F2314" s="63"/>
    </row>
    <row r="2315" spans="1:6" ht="20.399999999999999">
      <c r="A2315" s="323"/>
      <c r="B2315" s="63"/>
      <c r="C2315" s="63"/>
      <c r="D2315" s="63"/>
      <c r="E2315" s="326"/>
      <c r="F2315" s="63"/>
    </row>
    <row r="2316" spans="1:6" ht="20.399999999999999">
      <c r="A2316" s="323"/>
      <c r="B2316" s="63"/>
      <c r="C2316" s="63"/>
      <c r="D2316" s="63"/>
      <c r="E2316" s="326"/>
      <c r="F2316" s="63"/>
    </row>
    <row r="2317" spans="1:6" ht="20.399999999999999">
      <c r="A2317" s="323"/>
      <c r="B2317" s="63"/>
      <c r="C2317" s="63"/>
      <c r="D2317" s="63"/>
      <c r="E2317" s="326"/>
      <c r="F2317" s="63"/>
    </row>
    <row r="2318" spans="1:6" ht="20.399999999999999">
      <c r="A2318" s="323"/>
      <c r="B2318" s="63"/>
      <c r="C2318" s="63"/>
      <c r="D2318" s="63"/>
      <c r="E2318" s="326"/>
      <c r="F2318" s="63"/>
    </row>
    <row r="2319" spans="1:6" ht="20.399999999999999">
      <c r="A2319" s="323"/>
      <c r="B2319" s="63"/>
      <c r="C2319" s="63"/>
      <c r="D2319" s="63"/>
      <c r="E2319" s="326"/>
      <c r="F2319" s="63"/>
    </row>
    <row r="2320" spans="1:6" ht="20.399999999999999">
      <c r="A2320" s="323"/>
      <c r="B2320" s="63"/>
      <c r="C2320" s="63"/>
      <c r="D2320" s="63"/>
      <c r="E2320" s="326"/>
      <c r="F2320" s="63"/>
    </row>
    <row r="2321" spans="1:6" ht="20.399999999999999">
      <c r="A2321" s="323"/>
      <c r="B2321" s="63"/>
      <c r="C2321" s="63"/>
      <c r="D2321" s="63"/>
      <c r="E2321" s="326"/>
      <c r="F2321" s="63"/>
    </row>
    <row r="2322" spans="1:6" ht="20.399999999999999">
      <c r="A2322" s="323"/>
      <c r="B2322" s="63"/>
      <c r="C2322" s="63"/>
      <c r="D2322" s="63"/>
      <c r="E2322" s="326"/>
      <c r="F2322" s="63"/>
    </row>
    <row r="2323" spans="1:6" ht="20.399999999999999">
      <c r="A2323" s="323"/>
      <c r="B2323" s="63"/>
      <c r="C2323" s="63"/>
      <c r="D2323" s="63"/>
      <c r="E2323" s="326"/>
      <c r="F2323" s="63"/>
    </row>
    <row r="2324" spans="1:6" ht="20.399999999999999">
      <c r="A2324" s="323"/>
      <c r="B2324" s="63"/>
      <c r="C2324" s="63"/>
      <c r="D2324" s="63"/>
      <c r="E2324" s="326"/>
      <c r="F2324" s="63"/>
    </row>
    <row r="2325" spans="1:6" ht="20.399999999999999">
      <c r="A2325" s="323"/>
      <c r="B2325" s="63"/>
      <c r="C2325" s="63"/>
      <c r="D2325" s="63"/>
      <c r="E2325" s="326"/>
      <c r="F2325" s="63"/>
    </row>
    <row r="2326" spans="1:6" ht="20.399999999999999">
      <c r="A2326" s="323"/>
      <c r="B2326" s="63"/>
      <c r="C2326" s="63"/>
      <c r="D2326" s="63"/>
      <c r="E2326" s="326"/>
      <c r="F2326" s="63"/>
    </row>
    <row r="2327" spans="1:6" ht="20.399999999999999">
      <c r="A2327" s="323"/>
      <c r="B2327" s="63"/>
      <c r="C2327" s="63"/>
      <c r="D2327" s="63"/>
      <c r="E2327" s="326"/>
      <c r="F2327" s="63"/>
    </row>
    <row r="2328" spans="1:6" ht="20.399999999999999">
      <c r="A2328" s="323"/>
      <c r="B2328" s="63"/>
      <c r="C2328" s="63"/>
      <c r="D2328" s="63"/>
      <c r="E2328" s="326"/>
      <c r="F2328" s="63"/>
    </row>
    <row r="2329" spans="1:6" ht="20.399999999999999">
      <c r="A2329" s="323"/>
      <c r="B2329" s="63"/>
      <c r="C2329" s="63"/>
      <c r="D2329" s="63"/>
      <c r="E2329" s="326"/>
      <c r="F2329" s="63"/>
    </row>
    <row r="2330" spans="1:6" ht="20.399999999999999">
      <c r="A2330" s="323"/>
      <c r="B2330" s="63"/>
      <c r="C2330" s="63"/>
      <c r="D2330" s="63"/>
      <c r="E2330" s="326"/>
      <c r="F2330" s="63"/>
    </row>
    <row r="2331" spans="1:6" ht="20.399999999999999">
      <c r="A2331" s="323"/>
      <c r="B2331" s="63"/>
      <c r="C2331" s="63"/>
      <c r="D2331" s="63"/>
      <c r="E2331" s="326"/>
      <c r="F2331" s="63"/>
    </row>
    <row r="2332" spans="1:6" ht="20.399999999999999">
      <c r="A2332" s="323"/>
      <c r="B2332" s="63"/>
      <c r="C2332" s="63"/>
      <c r="D2332" s="63"/>
      <c r="E2332" s="326"/>
      <c r="F2332" s="63"/>
    </row>
    <row r="2333" spans="1:6" ht="20.399999999999999">
      <c r="A2333" s="323"/>
      <c r="B2333" s="63"/>
      <c r="C2333" s="63"/>
      <c r="D2333" s="63"/>
      <c r="E2333" s="326"/>
      <c r="F2333" s="63"/>
    </row>
    <row r="2334" spans="1:6" ht="20.399999999999999">
      <c r="A2334" s="323"/>
      <c r="B2334" s="63"/>
      <c r="C2334" s="63"/>
      <c r="D2334" s="63"/>
      <c r="E2334" s="326"/>
      <c r="F2334" s="63"/>
    </row>
    <row r="2335" spans="1:6" ht="20.399999999999999">
      <c r="A2335" s="323"/>
      <c r="B2335" s="63"/>
      <c r="C2335" s="63"/>
      <c r="D2335" s="63"/>
      <c r="E2335" s="326"/>
      <c r="F2335" s="63"/>
    </row>
    <row r="2336" spans="1:6" ht="20.399999999999999">
      <c r="A2336" s="323"/>
      <c r="B2336" s="63"/>
      <c r="C2336" s="63"/>
      <c r="D2336" s="63"/>
      <c r="E2336" s="326"/>
      <c r="F2336" s="63"/>
    </row>
    <row r="2337" spans="1:6" ht="20.399999999999999">
      <c r="A2337" s="323"/>
      <c r="B2337" s="63"/>
      <c r="C2337" s="63"/>
      <c r="D2337" s="63"/>
      <c r="E2337" s="326"/>
      <c r="F2337" s="63"/>
    </row>
    <row r="2338" spans="1:6" ht="20.399999999999999">
      <c r="A2338" s="323"/>
      <c r="B2338" s="63"/>
      <c r="C2338" s="63"/>
      <c r="D2338" s="63"/>
      <c r="E2338" s="326"/>
      <c r="F2338" s="63"/>
    </row>
    <row r="2339" spans="1:6" ht="20.399999999999999">
      <c r="A2339" s="323"/>
      <c r="B2339" s="63"/>
      <c r="C2339" s="63"/>
      <c r="D2339" s="63"/>
      <c r="E2339" s="326"/>
      <c r="F2339" s="63"/>
    </row>
    <row r="2340" spans="1:6" ht="20.399999999999999">
      <c r="A2340" s="323"/>
      <c r="B2340" s="63"/>
      <c r="C2340" s="63"/>
      <c r="D2340" s="63"/>
      <c r="E2340" s="326"/>
      <c r="F2340" s="63"/>
    </row>
    <row r="2341" spans="1:6" ht="20.399999999999999">
      <c r="A2341" s="323"/>
      <c r="B2341" s="63"/>
      <c r="C2341" s="63"/>
      <c r="D2341" s="63"/>
      <c r="E2341" s="326"/>
      <c r="F2341" s="63"/>
    </row>
    <row r="2342" spans="1:6" ht="20.399999999999999">
      <c r="A2342" s="323"/>
      <c r="B2342" s="63"/>
      <c r="C2342" s="63"/>
      <c r="D2342" s="63"/>
      <c r="E2342" s="326"/>
      <c r="F2342" s="63"/>
    </row>
    <row r="2343" spans="1:6" ht="20.399999999999999">
      <c r="A2343" s="323"/>
      <c r="B2343" s="63"/>
      <c r="C2343" s="63"/>
      <c r="D2343" s="63"/>
      <c r="E2343" s="326"/>
      <c r="F2343" s="63"/>
    </row>
    <row r="2344" spans="1:6" ht="20.399999999999999">
      <c r="A2344" s="323"/>
      <c r="B2344" s="63"/>
      <c r="C2344" s="63"/>
      <c r="D2344" s="63"/>
      <c r="E2344" s="326"/>
      <c r="F2344" s="63"/>
    </row>
    <row r="2345" spans="1:6" ht="20.399999999999999">
      <c r="A2345" s="323"/>
      <c r="B2345" s="63"/>
      <c r="C2345" s="63"/>
      <c r="D2345" s="63"/>
      <c r="E2345" s="326"/>
      <c r="F2345" s="63"/>
    </row>
    <row r="2346" spans="1:6" ht="20.399999999999999">
      <c r="A2346" s="323"/>
      <c r="B2346" s="63"/>
      <c r="C2346" s="63"/>
      <c r="D2346" s="63"/>
      <c r="E2346" s="326"/>
      <c r="F2346" s="63"/>
    </row>
    <row r="2347" spans="1:6" ht="20.399999999999999">
      <c r="A2347" s="323"/>
      <c r="B2347" s="63"/>
      <c r="C2347" s="63"/>
      <c r="D2347" s="63"/>
      <c r="E2347" s="326"/>
      <c r="F2347" s="63"/>
    </row>
    <row r="2348" spans="1:6" ht="20.399999999999999">
      <c r="A2348" s="323"/>
      <c r="B2348" s="63"/>
      <c r="C2348" s="63"/>
      <c r="D2348" s="63"/>
      <c r="E2348" s="326"/>
      <c r="F2348" s="63"/>
    </row>
    <row r="2349" spans="1:6" ht="20.399999999999999">
      <c r="A2349" s="323"/>
      <c r="B2349" s="63"/>
      <c r="C2349" s="63"/>
      <c r="D2349" s="63"/>
      <c r="E2349" s="326"/>
      <c r="F2349" s="63"/>
    </row>
    <row r="2350" spans="1:6" ht="20.399999999999999">
      <c r="A2350" s="323"/>
      <c r="B2350" s="63"/>
      <c r="C2350" s="63"/>
      <c r="D2350" s="63"/>
      <c r="E2350" s="326"/>
      <c r="F2350" s="63"/>
    </row>
    <row r="2351" spans="1:6" ht="20.399999999999999">
      <c r="A2351" s="323"/>
      <c r="B2351" s="63"/>
      <c r="C2351" s="63"/>
      <c r="D2351" s="63"/>
      <c r="E2351" s="326"/>
      <c r="F2351" s="63"/>
    </row>
    <row r="2352" spans="1:6" ht="20.399999999999999">
      <c r="A2352" s="323"/>
      <c r="B2352" s="63"/>
      <c r="C2352" s="63"/>
      <c r="D2352" s="63"/>
      <c r="E2352" s="326"/>
      <c r="F2352" s="63"/>
    </row>
    <row r="2353" spans="1:6" ht="20.399999999999999">
      <c r="A2353" s="323"/>
      <c r="B2353" s="63"/>
      <c r="C2353" s="63"/>
      <c r="D2353" s="63"/>
      <c r="E2353" s="326"/>
      <c r="F2353" s="63"/>
    </row>
    <row r="2354" spans="1:6" ht="20.399999999999999">
      <c r="A2354" s="323"/>
      <c r="B2354" s="63"/>
      <c r="C2354" s="63"/>
      <c r="D2354" s="63"/>
      <c r="E2354" s="326"/>
      <c r="F2354" s="63"/>
    </row>
    <row r="2355" spans="1:6" ht="20.399999999999999">
      <c r="A2355" s="323"/>
      <c r="B2355" s="63"/>
      <c r="C2355" s="63"/>
      <c r="D2355" s="63"/>
      <c r="E2355" s="326"/>
      <c r="F2355" s="63"/>
    </row>
    <row r="2356" spans="1:6" ht="20.399999999999999">
      <c r="A2356" s="323"/>
      <c r="B2356" s="63"/>
      <c r="C2356" s="63"/>
      <c r="D2356" s="63"/>
      <c r="E2356" s="326"/>
      <c r="F2356" s="63"/>
    </row>
    <row r="2357" spans="1:6" ht="20.399999999999999">
      <c r="A2357" s="323"/>
      <c r="B2357" s="63"/>
      <c r="C2357" s="63"/>
      <c r="D2357" s="63"/>
      <c r="E2357" s="326"/>
      <c r="F2357" s="63"/>
    </row>
    <row r="2358" spans="1:6" ht="20.399999999999999">
      <c r="A2358" s="323"/>
      <c r="B2358" s="63"/>
      <c r="C2358" s="63"/>
      <c r="D2358" s="63"/>
      <c r="E2358" s="326"/>
      <c r="F2358" s="63"/>
    </row>
    <row r="2359" spans="1:6" ht="20.399999999999999">
      <c r="A2359" s="323"/>
      <c r="B2359" s="63"/>
      <c r="C2359" s="63"/>
      <c r="D2359" s="63"/>
      <c r="E2359" s="326"/>
      <c r="F2359" s="63"/>
    </row>
    <row r="2360" spans="1:6" ht="20.399999999999999">
      <c r="A2360" s="323"/>
      <c r="B2360" s="63"/>
      <c r="C2360" s="63"/>
      <c r="D2360" s="63"/>
      <c r="E2360" s="326"/>
      <c r="F2360" s="63"/>
    </row>
    <row r="2361" spans="1:6" ht="20.399999999999999">
      <c r="A2361" s="323"/>
      <c r="B2361" s="63"/>
      <c r="C2361" s="63"/>
      <c r="D2361" s="63"/>
      <c r="E2361" s="326"/>
      <c r="F2361" s="63"/>
    </row>
    <row r="2362" spans="1:6" ht="20.399999999999999">
      <c r="A2362" s="323"/>
      <c r="B2362" s="63"/>
      <c r="C2362" s="63"/>
      <c r="D2362" s="63"/>
      <c r="E2362" s="326"/>
      <c r="F2362" s="63"/>
    </row>
    <row r="2363" spans="1:6" ht="20.399999999999999">
      <c r="A2363" s="323"/>
      <c r="B2363" s="63"/>
      <c r="C2363" s="63"/>
      <c r="D2363" s="63"/>
      <c r="E2363" s="326"/>
      <c r="F2363" s="63"/>
    </row>
    <row r="2364" spans="1:6" ht="20.399999999999999">
      <c r="A2364" s="323"/>
      <c r="B2364" s="63"/>
      <c r="C2364" s="63"/>
      <c r="D2364" s="63"/>
      <c r="E2364" s="326"/>
      <c r="F2364" s="63"/>
    </row>
    <row r="2365" spans="1:6" ht="20.399999999999999">
      <c r="A2365" s="323"/>
      <c r="B2365" s="63"/>
      <c r="C2365" s="63"/>
      <c r="D2365" s="63"/>
      <c r="E2365" s="326"/>
      <c r="F2365" s="63"/>
    </row>
    <row r="2366" spans="1:6" ht="20.399999999999999">
      <c r="A2366" s="323"/>
      <c r="B2366" s="63"/>
      <c r="C2366" s="63"/>
      <c r="D2366" s="63"/>
      <c r="E2366" s="326"/>
      <c r="F2366" s="63"/>
    </row>
    <row r="2367" spans="1:6" ht="20.399999999999999">
      <c r="A2367" s="323"/>
      <c r="B2367" s="63"/>
      <c r="C2367" s="63"/>
      <c r="D2367" s="63"/>
      <c r="E2367" s="326"/>
      <c r="F2367" s="63"/>
    </row>
    <row r="2368" spans="1:6" ht="20.399999999999999">
      <c r="A2368" s="323"/>
      <c r="B2368" s="63"/>
      <c r="C2368" s="63"/>
      <c r="D2368" s="63"/>
      <c r="E2368" s="326"/>
      <c r="F2368" s="63"/>
    </row>
    <row r="2369" spans="1:6" ht="20.399999999999999">
      <c r="A2369" s="323"/>
      <c r="B2369" s="63"/>
      <c r="C2369" s="63"/>
      <c r="D2369" s="63"/>
      <c r="E2369" s="326"/>
      <c r="F2369" s="63"/>
    </row>
    <row r="2370" spans="1:6" ht="20.399999999999999">
      <c r="A2370" s="323"/>
      <c r="B2370" s="63"/>
      <c r="C2370" s="63"/>
      <c r="D2370" s="63"/>
      <c r="E2370" s="326"/>
      <c r="F2370" s="63"/>
    </row>
    <row r="2371" spans="1:6" ht="20.399999999999999">
      <c r="A2371" s="323"/>
      <c r="B2371" s="63"/>
      <c r="C2371" s="63"/>
      <c r="D2371" s="63"/>
      <c r="E2371" s="326"/>
      <c r="F2371" s="63"/>
    </row>
    <row r="2372" spans="1:6" ht="20.399999999999999">
      <c r="A2372" s="323"/>
      <c r="B2372" s="63"/>
      <c r="C2372" s="63"/>
      <c r="D2372" s="63"/>
      <c r="E2372" s="326"/>
      <c r="F2372" s="63"/>
    </row>
    <row r="2373" spans="1:6" ht="20.399999999999999">
      <c r="A2373" s="323"/>
      <c r="B2373" s="63"/>
      <c r="C2373" s="63"/>
      <c r="D2373" s="63"/>
      <c r="E2373" s="326"/>
      <c r="F2373" s="63"/>
    </row>
    <row r="2374" spans="1:6" ht="20.399999999999999">
      <c r="A2374" s="323"/>
      <c r="B2374" s="63"/>
      <c r="C2374" s="63"/>
      <c r="D2374" s="63"/>
      <c r="E2374" s="326"/>
      <c r="F2374" s="63"/>
    </row>
    <row r="2375" spans="1:6" ht="20.399999999999999">
      <c r="A2375" s="323"/>
      <c r="B2375" s="63"/>
      <c r="C2375" s="63"/>
      <c r="D2375" s="63"/>
      <c r="E2375" s="326"/>
      <c r="F2375" s="63"/>
    </row>
    <row r="2376" spans="1:6" ht="20.399999999999999">
      <c r="A2376" s="323"/>
      <c r="B2376" s="63"/>
      <c r="C2376" s="63"/>
      <c r="D2376" s="63"/>
      <c r="E2376" s="326"/>
      <c r="F2376" s="63"/>
    </row>
    <row r="2377" spans="1:6" ht="20.399999999999999">
      <c r="A2377" s="323"/>
      <c r="B2377" s="63"/>
      <c r="C2377" s="63"/>
      <c r="D2377" s="63"/>
      <c r="E2377" s="326"/>
      <c r="F2377" s="63"/>
    </row>
    <row r="2378" spans="1:6" ht="20.399999999999999">
      <c r="A2378" s="323"/>
      <c r="B2378" s="63"/>
      <c r="C2378" s="63"/>
      <c r="D2378" s="63"/>
      <c r="E2378" s="326"/>
      <c r="F2378" s="63"/>
    </row>
    <row r="2379" spans="1:6" ht="20.399999999999999">
      <c r="A2379" s="323"/>
      <c r="B2379" s="63"/>
      <c r="C2379" s="63"/>
      <c r="D2379" s="63"/>
      <c r="E2379" s="326"/>
      <c r="F2379" s="63"/>
    </row>
    <row r="2380" spans="1:6" ht="20.399999999999999">
      <c r="A2380" s="323"/>
      <c r="B2380" s="63"/>
      <c r="C2380" s="63"/>
      <c r="D2380" s="63"/>
      <c r="E2380" s="326"/>
      <c r="F2380" s="63"/>
    </row>
    <row r="2381" spans="1:6" ht="20.399999999999999">
      <c r="A2381" s="323"/>
      <c r="B2381" s="63"/>
      <c r="C2381" s="63"/>
      <c r="D2381" s="63"/>
      <c r="E2381" s="326"/>
      <c r="F2381" s="63"/>
    </row>
    <row r="2382" spans="1:6" ht="20.399999999999999">
      <c r="A2382" s="323"/>
      <c r="B2382" s="63"/>
      <c r="C2382" s="63"/>
      <c r="D2382" s="63"/>
      <c r="E2382" s="326"/>
      <c r="F2382" s="63"/>
    </row>
    <row r="2383" spans="1:6" ht="20.399999999999999">
      <c r="A2383" s="323"/>
      <c r="B2383" s="63"/>
      <c r="C2383" s="63"/>
      <c r="D2383" s="63"/>
      <c r="E2383" s="326"/>
      <c r="F2383" s="63"/>
    </row>
    <row r="2384" spans="1:6" ht="20.399999999999999">
      <c r="A2384" s="323"/>
      <c r="B2384" s="63"/>
      <c r="C2384" s="63"/>
      <c r="D2384" s="63"/>
      <c r="E2384" s="326"/>
      <c r="F2384" s="63"/>
    </row>
    <row r="2385" spans="1:6" ht="20.399999999999999">
      <c r="A2385" s="323"/>
      <c r="B2385" s="63"/>
      <c r="C2385" s="63"/>
      <c r="D2385" s="63"/>
      <c r="E2385" s="326"/>
      <c r="F2385" s="63"/>
    </row>
    <row r="2386" spans="1:6" ht="20.399999999999999">
      <c r="A2386" s="323"/>
      <c r="B2386" s="63"/>
      <c r="C2386" s="63"/>
      <c r="D2386" s="63"/>
      <c r="E2386" s="326"/>
      <c r="F2386" s="63"/>
    </row>
    <row r="2387" spans="1:6" ht="20.399999999999999">
      <c r="A2387" s="323"/>
      <c r="B2387" s="63"/>
      <c r="C2387" s="63"/>
      <c r="D2387" s="63"/>
      <c r="E2387" s="326"/>
      <c r="F2387" s="63"/>
    </row>
    <row r="2388" spans="1:6" ht="20.399999999999999">
      <c r="A2388" s="323"/>
      <c r="B2388" s="63"/>
      <c r="C2388" s="63"/>
      <c r="D2388" s="63"/>
      <c r="E2388" s="326"/>
      <c r="F2388" s="63"/>
    </row>
    <row r="2389" spans="1:6" ht="20.399999999999999">
      <c r="A2389" s="323"/>
      <c r="B2389" s="63"/>
      <c r="C2389" s="63"/>
      <c r="D2389" s="63"/>
      <c r="E2389" s="326"/>
      <c r="F2389" s="63"/>
    </row>
    <row r="2390" spans="1:6" ht="20.399999999999999">
      <c r="A2390" s="323"/>
      <c r="B2390" s="63"/>
      <c r="C2390" s="63"/>
      <c r="D2390" s="63"/>
      <c r="E2390" s="326"/>
      <c r="F2390" s="63"/>
    </row>
    <row r="2391" spans="1:6" ht="20.399999999999999">
      <c r="A2391" s="323"/>
      <c r="B2391" s="63"/>
      <c r="C2391" s="63"/>
      <c r="D2391" s="63"/>
      <c r="E2391" s="326"/>
      <c r="F2391" s="63"/>
    </row>
    <row r="2392" spans="1:6" ht="20.399999999999999">
      <c r="A2392" s="323"/>
      <c r="B2392" s="63"/>
      <c r="C2392" s="63"/>
      <c r="D2392" s="63"/>
      <c r="E2392" s="326"/>
      <c r="F2392" s="63"/>
    </row>
    <row r="2393" spans="1:6" ht="20.399999999999999">
      <c r="A2393" s="323"/>
      <c r="B2393" s="63"/>
      <c r="C2393" s="63"/>
      <c r="D2393" s="63"/>
      <c r="E2393" s="326"/>
      <c r="F2393" s="63"/>
    </row>
    <row r="2394" spans="1:6" ht="20.399999999999999">
      <c r="A2394" s="323"/>
      <c r="B2394" s="63"/>
      <c r="C2394" s="63"/>
      <c r="D2394" s="63"/>
      <c r="E2394" s="326"/>
      <c r="F2394" s="63"/>
    </row>
    <row r="2395" spans="1:6" ht="20.399999999999999">
      <c r="A2395" s="323"/>
      <c r="B2395" s="63"/>
      <c r="C2395" s="63"/>
      <c r="D2395" s="63"/>
      <c r="E2395" s="326"/>
      <c r="F2395" s="63"/>
    </row>
    <row r="2396" spans="1:6" ht="20.399999999999999">
      <c r="A2396" s="323"/>
      <c r="B2396" s="63"/>
      <c r="C2396" s="63"/>
      <c r="D2396" s="63"/>
      <c r="E2396" s="326"/>
      <c r="F2396" s="63"/>
    </row>
    <row r="2397" spans="1:6" ht="20.399999999999999">
      <c r="A2397" s="323"/>
      <c r="B2397" s="63"/>
      <c r="C2397" s="63"/>
      <c r="D2397" s="63"/>
      <c r="E2397" s="326"/>
      <c r="F2397" s="63"/>
    </row>
    <row r="2398" spans="1:6" ht="20.399999999999999">
      <c r="A2398" s="323"/>
      <c r="B2398" s="63"/>
      <c r="C2398" s="63"/>
      <c r="D2398" s="63"/>
      <c r="E2398" s="326"/>
      <c r="F2398" s="63"/>
    </row>
    <row r="2399" spans="1:6" ht="20.399999999999999">
      <c r="A2399" s="323"/>
      <c r="B2399" s="63"/>
      <c r="C2399" s="63"/>
      <c r="D2399" s="63"/>
      <c r="E2399" s="326"/>
      <c r="F2399" s="63"/>
    </row>
    <row r="2400" spans="1:6" ht="20.399999999999999">
      <c r="A2400" s="323"/>
      <c r="B2400" s="63"/>
      <c r="C2400" s="63"/>
      <c r="D2400" s="63"/>
      <c r="E2400" s="326"/>
      <c r="F2400" s="63"/>
    </row>
    <row r="2401" spans="1:6" ht="20.399999999999999">
      <c r="A2401" s="323"/>
      <c r="B2401" s="63"/>
      <c r="C2401" s="63"/>
      <c r="D2401" s="63"/>
      <c r="E2401" s="326"/>
      <c r="F2401" s="63"/>
    </row>
    <row r="2402" spans="1:6" ht="20.399999999999999">
      <c r="A2402" s="323"/>
      <c r="B2402" s="63"/>
      <c r="C2402" s="63"/>
      <c r="D2402" s="63"/>
      <c r="E2402" s="326"/>
      <c r="F2402" s="63"/>
    </row>
    <row r="2403" spans="1:6" ht="20.399999999999999">
      <c r="A2403" s="323"/>
      <c r="B2403" s="63"/>
      <c r="C2403" s="63"/>
      <c r="D2403" s="63"/>
      <c r="E2403" s="326"/>
      <c r="F2403" s="63"/>
    </row>
    <row r="2404" spans="1:6" ht="20.399999999999999">
      <c r="A2404" s="323"/>
      <c r="B2404" s="63"/>
      <c r="C2404" s="63"/>
      <c r="D2404" s="63"/>
      <c r="E2404" s="326"/>
      <c r="F2404" s="63"/>
    </row>
    <row r="2405" spans="1:6" ht="20.399999999999999">
      <c r="A2405" s="323"/>
      <c r="B2405" s="63"/>
      <c r="C2405" s="63"/>
      <c r="D2405" s="63"/>
      <c r="E2405" s="326"/>
      <c r="F2405" s="63"/>
    </row>
    <row r="2406" spans="1:6" ht="20.399999999999999">
      <c r="A2406" s="323"/>
      <c r="B2406" s="63"/>
      <c r="C2406" s="63"/>
      <c r="D2406" s="63"/>
      <c r="E2406" s="326"/>
      <c r="F2406" s="63"/>
    </row>
    <row r="2407" spans="1:6" ht="20.399999999999999">
      <c r="A2407" s="323"/>
      <c r="B2407" s="63"/>
      <c r="C2407" s="63"/>
      <c r="D2407" s="63"/>
      <c r="E2407" s="326"/>
      <c r="F2407" s="63"/>
    </row>
    <row r="2408" spans="1:6" ht="20.399999999999999">
      <c r="A2408" s="323"/>
      <c r="B2408" s="63"/>
      <c r="C2408" s="63"/>
      <c r="D2408" s="63"/>
      <c r="E2408" s="326"/>
      <c r="F2408" s="63"/>
    </row>
    <row r="2409" spans="1:6" ht="20.399999999999999">
      <c r="A2409" s="323"/>
      <c r="B2409" s="63"/>
      <c r="C2409" s="63"/>
      <c r="D2409" s="63"/>
      <c r="E2409" s="326"/>
      <c r="F2409" s="63"/>
    </row>
    <row r="2410" spans="1:6" ht="20.399999999999999">
      <c r="A2410" s="323"/>
      <c r="B2410" s="63"/>
      <c r="C2410" s="63"/>
      <c r="D2410" s="63"/>
      <c r="E2410" s="326"/>
      <c r="F2410" s="63"/>
    </row>
    <row r="2411" spans="1:6" ht="20.399999999999999">
      <c r="A2411" s="323"/>
      <c r="B2411" s="63"/>
      <c r="C2411" s="63"/>
      <c r="D2411" s="63"/>
      <c r="E2411" s="326"/>
      <c r="F2411" s="63"/>
    </row>
    <row r="2412" spans="1:6" ht="20.399999999999999">
      <c r="A2412" s="323"/>
      <c r="B2412" s="63"/>
      <c r="C2412" s="63"/>
      <c r="D2412" s="63"/>
      <c r="E2412" s="326"/>
      <c r="F2412" s="63"/>
    </row>
    <row r="2413" spans="1:6" ht="20.399999999999999">
      <c r="A2413" s="323"/>
      <c r="B2413" s="63"/>
      <c r="C2413" s="63"/>
      <c r="D2413" s="63"/>
      <c r="E2413" s="326"/>
      <c r="F2413" s="63"/>
    </row>
    <row r="2414" spans="1:6" ht="20.399999999999999">
      <c r="A2414" s="323"/>
      <c r="B2414" s="63"/>
      <c r="C2414" s="63"/>
      <c r="D2414" s="63"/>
      <c r="E2414" s="326"/>
      <c r="F2414" s="63"/>
    </row>
    <row r="2415" spans="1:6" ht="20.399999999999999">
      <c r="A2415" s="323"/>
      <c r="B2415" s="63"/>
      <c r="C2415" s="63"/>
      <c r="D2415" s="63"/>
      <c r="E2415" s="326"/>
      <c r="F2415" s="63"/>
    </row>
    <row r="2416" spans="1:6" ht="20.399999999999999">
      <c r="A2416" s="323"/>
      <c r="B2416" s="63"/>
      <c r="C2416" s="63"/>
      <c r="D2416" s="63"/>
      <c r="E2416" s="326"/>
      <c r="F2416" s="63"/>
    </row>
    <row r="2417" spans="1:6" ht="20.399999999999999">
      <c r="A2417" s="323"/>
      <c r="B2417" s="63"/>
      <c r="C2417" s="63"/>
      <c r="D2417" s="63"/>
      <c r="E2417" s="326"/>
      <c r="F2417" s="63"/>
    </row>
    <row r="2418" spans="1:6" ht="20.399999999999999">
      <c r="A2418" s="323"/>
      <c r="B2418" s="63"/>
      <c r="C2418" s="63"/>
      <c r="D2418" s="63"/>
      <c r="E2418" s="326"/>
      <c r="F2418" s="63"/>
    </row>
    <row r="2419" spans="1:6" ht="20.399999999999999">
      <c r="A2419" s="323"/>
      <c r="B2419" s="63"/>
      <c r="C2419" s="63"/>
      <c r="D2419" s="63"/>
      <c r="E2419" s="326"/>
      <c r="F2419" s="63"/>
    </row>
    <row r="2420" spans="1:6" ht="20.399999999999999">
      <c r="A2420" s="323"/>
      <c r="B2420" s="63"/>
      <c r="C2420" s="63"/>
      <c r="D2420" s="63"/>
      <c r="E2420" s="326"/>
      <c r="F2420" s="63"/>
    </row>
    <row r="2421" spans="1:6" ht="20.399999999999999">
      <c r="A2421" s="323"/>
      <c r="B2421" s="63"/>
      <c r="C2421" s="63"/>
      <c r="D2421" s="63"/>
      <c r="E2421" s="326"/>
      <c r="F2421" s="63"/>
    </row>
    <row r="2422" spans="1:6" ht="20.399999999999999">
      <c r="A2422" s="323"/>
      <c r="B2422" s="63"/>
      <c r="C2422" s="63"/>
      <c r="D2422" s="63"/>
      <c r="E2422" s="326"/>
      <c r="F2422" s="63"/>
    </row>
    <row r="2423" spans="1:6" ht="20.399999999999999">
      <c r="A2423" s="323"/>
      <c r="B2423" s="63"/>
      <c r="C2423" s="63"/>
      <c r="D2423" s="63"/>
      <c r="E2423" s="326"/>
      <c r="F2423" s="63"/>
    </row>
    <row r="2424" spans="1:6" ht="20.399999999999999">
      <c r="A2424" s="323"/>
      <c r="B2424" s="63"/>
      <c r="C2424" s="63"/>
      <c r="D2424" s="63"/>
      <c r="E2424" s="326"/>
      <c r="F2424" s="63"/>
    </row>
    <row r="2425" spans="1:6" ht="20.399999999999999">
      <c r="A2425" s="323"/>
      <c r="B2425" s="63"/>
      <c r="C2425" s="63"/>
      <c r="D2425" s="63"/>
      <c r="E2425" s="326"/>
      <c r="F2425" s="63"/>
    </row>
    <row r="2426" spans="1:6" ht="20.399999999999999">
      <c r="A2426" s="323"/>
      <c r="B2426" s="63"/>
      <c r="C2426" s="63"/>
      <c r="D2426" s="63"/>
      <c r="E2426" s="326"/>
      <c r="F2426" s="63"/>
    </row>
    <row r="2427" spans="1:6" ht="20.399999999999999">
      <c r="A2427" s="323"/>
      <c r="B2427" s="63"/>
      <c r="C2427" s="63"/>
      <c r="D2427" s="63"/>
      <c r="E2427" s="326"/>
      <c r="F2427" s="63"/>
    </row>
    <row r="2428" spans="1:6" ht="20.399999999999999">
      <c r="A2428" s="323"/>
      <c r="B2428" s="63"/>
      <c r="C2428" s="63"/>
      <c r="D2428" s="63"/>
      <c r="E2428" s="326"/>
      <c r="F2428" s="63"/>
    </row>
    <row r="2429" spans="1:6" ht="20.399999999999999">
      <c r="A2429" s="323"/>
      <c r="B2429" s="63"/>
      <c r="C2429" s="63"/>
      <c r="D2429" s="63"/>
      <c r="E2429" s="326"/>
      <c r="F2429" s="63"/>
    </row>
    <row r="2430" spans="1:6" ht="20.399999999999999">
      <c r="A2430" s="323"/>
      <c r="B2430" s="63"/>
      <c r="C2430" s="63"/>
      <c r="D2430" s="63"/>
      <c r="E2430" s="326"/>
      <c r="F2430" s="63"/>
    </row>
    <row r="2431" spans="1:6" ht="20.399999999999999">
      <c r="A2431" s="323"/>
      <c r="B2431" s="63"/>
      <c r="C2431" s="63"/>
      <c r="D2431" s="63"/>
      <c r="E2431" s="326"/>
      <c r="F2431" s="63"/>
    </row>
    <row r="2432" spans="1:6" ht="20.399999999999999">
      <c r="A2432" s="323"/>
      <c r="B2432" s="63"/>
      <c r="C2432" s="63"/>
      <c r="D2432" s="63"/>
      <c r="E2432" s="326"/>
      <c r="F2432" s="63"/>
    </row>
    <row r="2433" spans="1:6" ht="20.399999999999999">
      <c r="A2433" s="323"/>
      <c r="B2433" s="63"/>
      <c r="C2433" s="63"/>
      <c r="D2433" s="63"/>
      <c r="E2433" s="326"/>
      <c r="F2433" s="63"/>
    </row>
    <row r="2434" spans="1:6" ht="20.399999999999999">
      <c r="A2434" s="323"/>
      <c r="B2434" s="63"/>
      <c r="C2434" s="63"/>
      <c r="D2434" s="63"/>
      <c r="E2434" s="326"/>
      <c r="F2434" s="63"/>
    </row>
    <row r="2435" spans="1:6" ht="20.399999999999999">
      <c r="A2435" s="323"/>
      <c r="B2435" s="63"/>
      <c r="C2435" s="63"/>
      <c r="D2435" s="63"/>
      <c r="E2435" s="326"/>
      <c r="F2435" s="63"/>
    </row>
    <row r="2436" spans="1:6" ht="20.399999999999999">
      <c r="A2436" s="323"/>
      <c r="B2436" s="63"/>
      <c r="C2436" s="63"/>
      <c r="D2436" s="63"/>
      <c r="E2436" s="326"/>
      <c r="F2436" s="63"/>
    </row>
    <row r="2437" spans="1:6" ht="20.399999999999999">
      <c r="A2437" s="323"/>
      <c r="B2437" s="63"/>
      <c r="C2437" s="63"/>
      <c r="D2437" s="63"/>
      <c r="E2437" s="326"/>
      <c r="F2437" s="63"/>
    </row>
    <row r="2438" spans="1:6" ht="20.399999999999999">
      <c r="A2438" s="323"/>
      <c r="B2438" s="63"/>
      <c r="C2438" s="63"/>
      <c r="D2438" s="63"/>
      <c r="E2438" s="326"/>
      <c r="F2438" s="63"/>
    </row>
    <row r="2439" spans="1:6" ht="20.399999999999999">
      <c r="A2439" s="323"/>
      <c r="B2439" s="63"/>
      <c r="C2439" s="63"/>
      <c r="D2439" s="63"/>
      <c r="E2439" s="326"/>
      <c r="F2439" s="63"/>
    </row>
    <row r="2440" spans="1:6" ht="20.399999999999999">
      <c r="A2440" s="323"/>
      <c r="B2440" s="63"/>
      <c r="C2440" s="63"/>
      <c r="D2440" s="63"/>
      <c r="E2440" s="326"/>
      <c r="F2440" s="63"/>
    </row>
    <row r="2441" spans="1:6" ht="20.399999999999999">
      <c r="A2441" s="323"/>
      <c r="B2441" s="63"/>
      <c r="C2441" s="63"/>
      <c r="D2441" s="63"/>
      <c r="E2441" s="326"/>
      <c r="F2441" s="63"/>
    </row>
    <row r="2442" spans="1:6" ht="20.399999999999999">
      <c r="A2442" s="323"/>
      <c r="B2442" s="63"/>
      <c r="C2442" s="63"/>
      <c r="D2442" s="63"/>
      <c r="E2442" s="326"/>
      <c r="F2442" s="63"/>
    </row>
    <row r="2443" spans="1:6" ht="20.399999999999999">
      <c r="A2443" s="323"/>
      <c r="B2443" s="63"/>
      <c r="C2443" s="63"/>
      <c r="D2443" s="63"/>
      <c r="E2443" s="326"/>
      <c r="F2443" s="63"/>
    </row>
    <row r="2444" spans="1:6" ht="20.399999999999999">
      <c r="A2444" s="323"/>
      <c r="B2444" s="63"/>
      <c r="C2444" s="63"/>
      <c r="D2444" s="63"/>
      <c r="E2444" s="326"/>
      <c r="F2444" s="63"/>
    </row>
    <row r="2445" spans="1:6" ht="20.399999999999999">
      <c r="A2445" s="323"/>
      <c r="B2445" s="63"/>
      <c r="C2445" s="63"/>
      <c r="D2445" s="63"/>
      <c r="E2445" s="326"/>
      <c r="F2445" s="63"/>
    </row>
    <row r="2446" spans="1:6" ht="20.399999999999999">
      <c r="A2446" s="323"/>
      <c r="B2446" s="63"/>
      <c r="C2446" s="63"/>
      <c r="D2446" s="63"/>
      <c r="E2446" s="326"/>
      <c r="F2446" s="63"/>
    </row>
    <row r="2447" spans="1:6" ht="20.399999999999999">
      <c r="A2447" s="323"/>
      <c r="B2447" s="63"/>
      <c r="C2447" s="63"/>
      <c r="D2447" s="63"/>
      <c r="E2447" s="326"/>
      <c r="F2447" s="63"/>
    </row>
    <row r="2448" spans="1:6" ht="20.399999999999999">
      <c r="A2448" s="323"/>
      <c r="B2448" s="63"/>
      <c r="C2448" s="63"/>
      <c r="D2448" s="63"/>
      <c r="E2448" s="326"/>
      <c r="F2448" s="63"/>
    </row>
    <row r="2449" spans="1:6" ht="20.399999999999999">
      <c r="A2449" s="323"/>
      <c r="B2449" s="63"/>
      <c r="C2449" s="63"/>
      <c r="D2449" s="63"/>
      <c r="E2449" s="326"/>
      <c r="F2449" s="63"/>
    </row>
    <row r="2450" spans="1:6" ht="20.399999999999999">
      <c r="A2450" s="323"/>
      <c r="B2450" s="63"/>
      <c r="C2450" s="63"/>
      <c r="D2450" s="63"/>
      <c r="E2450" s="326"/>
      <c r="F2450" s="63"/>
    </row>
    <row r="2451" spans="1:6" ht="20.399999999999999">
      <c r="A2451" s="323"/>
      <c r="B2451" s="63"/>
      <c r="C2451" s="63"/>
      <c r="D2451" s="63"/>
      <c r="E2451" s="326"/>
      <c r="F2451" s="63"/>
    </row>
    <row r="2452" spans="1:6" ht="20.399999999999999">
      <c r="A2452" s="323"/>
      <c r="B2452" s="63"/>
      <c r="C2452" s="63"/>
      <c r="D2452" s="63"/>
      <c r="E2452" s="326"/>
      <c r="F2452" s="63"/>
    </row>
    <row r="2453" spans="1:6" ht="20.399999999999999">
      <c r="A2453" s="323"/>
      <c r="B2453" s="63"/>
      <c r="C2453" s="63"/>
      <c r="D2453" s="63"/>
      <c r="E2453" s="326"/>
      <c r="F2453" s="63"/>
    </row>
    <row r="2454" spans="1:6" ht="20.399999999999999">
      <c r="A2454" s="323"/>
      <c r="B2454" s="63"/>
      <c r="C2454" s="63"/>
      <c r="D2454" s="63"/>
      <c r="E2454" s="326"/>
      <c r="F2454" s="63"/>
    </row>
    <row r="2455" spans="1:6" ht="20.399999999999999">
      <c r="A2455" s="323"/>
      <c r="B2455" s="63"/>
      <c r="C2455" s="63"/>
      <c r="D2455" s="63"/>
      <c r="E2455" s="326"/>
      <c r="F2455" s="63"/>
    </row>
    <row r="2456" spans="1:6" ht="20.399999999999999">
      <c r="A2456" s="323"/>
      <c r="B2456" s="63"/>
      <c r="C2456" s="63"/>
      <c r="D2456" s="63"/>
      <c r="E2456" s="326"/>
      <c r="F2456" s="63"/>
    </row>
    <row r="2457" spans="1:6" ht="20.399999999999999">
      <c r="A2457" s="323"/>
      <c r="B2457" s="63"/>
      <c r="C2457" s="63"/>
      <c r="D2457" s="63"/>
      <c r="E2457" s="326"/>
      <c r="F2457" s="63"/>
    </row>
    <row r="2458" spans="1:6" ht="20.399999999999999">
      <c r="A2458" s="323"/>
      <c r="B2458" s="63"/>
      <c r="C2458" s="63"/>
      <c r="D2458" s="63"/>
      <c r="E2458" s="326"/>
      <c r="F2458" s="63"/>
    </row>
    <row r="2459" spans="1:6" ht="20.399999999999999">
      <c r="A2459" s="323"/>
      <c r="B2459" s="63"/>
      <c r="C2459" s="63"/>
      <c r="D2459" s="63"/>
      <c r="E2459" s="326"/>
      <c r="F2459" s="63"/>
    </row>
    <row r="2460" spans="1:6" ht="20.399999999999999">
      <c r="A2460" s="323"/>
      <c r="B2460" s="63"/>
      <c r="C2460" s="63"/>
      <c r="D2460" s="63"/>
      <c r="E2460" s="326"/>
      <c r="F2460" s="63"/>
    </row>
    <row r="2461" spans="1:6" ht="20.399999999999999">
      <c r="A2461" s="323"/>
      <c r="B2461" s="63"/>
      <c r="C2461" s="63"/>
      <c r="D2461" s="63"/>
      <c r="E2461" s="326"/>
      <c r="F2461" s="63"/>
    </row>
    <row r="2462" spans="1:6" ht="20.399999999999999">
      <c r="A2462" s="323"/>
      <c r="B2462" s="63"/>
      <c r="C2462" s="63"/>
      <c r="D2462" s="63"/>
      <c r="E2462" s="326"/>
      <c r="F2462" s="63"/>
    </row>
    <row r="2463" spans="1:6" ht="20.399999999999999">
      <c r="A2463" s="323"/>
      <c r="B2463" s="63"/>
      <c r="C2463" s="63"/>
      <c r="D2463" s="63"/>
      <c r="E2463" s="326"/>
      <c r="F2463" s="63"/>
    </row>
    <row r="2464" spans="1:6" ht="20.399999999999999">
      <c r="A2464" s="323"/>
      <c r="B2464" s="63"/>
      <c r="C2464" s="63"/>
      <c r="D2464" s="63"/>
      <c r="E2464" s="326"/>
      <c r="F2464" s="63"/>
    </row>
    <row r="2465" spans="1:6" ht="20.399999999999999">
      <c r="A2465" s="323"/>
      <c r="B2465" s="63"/>
      <c r="C2465" s="63"/>
      <c r="D2465" s="63"/>
      <c r="E2465" s="326"/>
      <c r="F2465" s="63"/>
    </row>
    <row r="2466" spans="1:6" ht="20.399999999999999">
      <c r="A2466" s="323"/>
      <c r="B2466" s="63"/>
      <c r="C2466" s="63"/>
      <c r="D2466" s="63"/>
      <c r="E2466" s="326"/>
      <c r="F2466" s="63"/>
    </row>
    <row r="2467" spans="1:6" ht="20.399999999999999">
      <c r="A2467" s="323"/>
      <c r="B2467" s="63"/>
      <c r="C2467" s="63"/>
      <c r="D2467" s="63"/>
      <c r="E2467" s="326"/>
      <c r="F2467" s="63"/>
    </row>
    <row r="2468" spans="1:6" ht="20.399999999999999">
      <c r="A2468" s="323"/>
      <c r="B2468" s="63"/>
      <c r="C2468" s="63"/>
      <c r="D2468" s="63"/>
      <c r="E2468" s="326"/>
      <c r="F2468" s="63"/>
    </row>
    <row r="2469" spans="1:6" ht="20.399999999999999">
      <c r="A2469" s="323"/>
      <c r="B2469" s="63"/>
      <c r="C2469" s="63"/>
      <c r="D2469" s="63"/>
      <c r="E2469" s="326"/>
      <c r="F2469" s="63"/>
    </row>
    <row r="2470" spans="1:6" ht="20.399999999999999">
      <c r="A2470" s="323"/>
      <c r="B2470" s="63"/>
      <c r="C2470" s="63"/>
      <c r="D2470" s="63"/>
      <c r="E2470" s="326"/>
      <c r="F2470" s="63"/>
    </row>
    <row r="2471" spans="1:6" ht="20.399999999999999">
      <c r="A2471" s="323"/>
      <c r="B2471" s="63"/>
      <c r="C2471" s="63"/>
      <c r="D2471" s="63"/>
      <c r="E2471" s="326"/>
      <c r="F2471" s="63"/>
    </row>
    <row r="2472" spans="1:6" ht="20.399999999999999">
      <c r="A2472" s="323"/>
      <c r="B2472" s="63"/>
      <c r="C2472" s="63"/>
      <c r="D2472" s="63"/>
      <c r="E2472" s="326"/>
      <c r="F2472" s="63"/>
    </row>
    <row r="2473" spans="1:6" ht="20.399999999999999">
      <c r="A2473" s="323"/>
      <c r="B2473" s="63"/>
      <c r="C2473" s="63"/>
      <c r="D2473" s="63"/>
      <c r="E2473" s="326"/>
      <c r="F2473" s="63"/>
    </row>
    <row r="2474" spans="1:6" ht="20.399999999999999">
      <c r="A2474" s="323"/>
      <c r="B2474" s="63"/>
      <c r="C2474" s="63"/>
      <c r="D2474" s="63"/>
      <c r="E2474" s="326"/>
      <c r="F2474" s="63"/>
    </row>
    <row r="2475" spans="1:6" ht="20.399999999999999">
      <c r="A2475" s="323"/>
      <c r="B2475" s="63"/>
      <c r="C2475" s="63"/>
      <c r="D2475" s="63"/>
      <c r="E2475" s="326"/>
      <c r="F2475" s="63"/>
    </row>
    <row r="2476" spans="1:6" ht="20.399999999999999">
      <c r="A2476" s="323"/>
      <c r="B2476" s="63"/>
      <c r="C2476" s="63"/>
      <c r="D2476" s="63"/>
      <c r="E2476" s="326"/>
      <c r="F2476" s="63"/>
    </row>
    <row r="2477" spans="1:6" ht="20.399999999999999">
      <c r="A2477" s="323"/>
      <c r="B2477" s="63"/>
      <c r="C2477" s="63"/>
      <c r="D2477" s="63"/>
      <c r="E2477" s="326"/>
      <c r="F2477" s="63"/>
    </row>
    <row r="2478" spans="1:6" ht="20.399999999999999">
      <c r="A2478" s="323"/>
      <c r="B2478" s="63"/>
      <c r="C2478" s="63"/>
      <c r="D2478" s="63"/>
      <c r="E2478" s="326"/>
      <c r="F2478" s="63"/>
    </row>
    <row r="2479" spans="1:6" ht="20.399999999999999">
      <c r="A2479" s="323"/>
      <c r="B2479" s="63"/>
      <c r="C2479" s="63"/>
      <c r="D2479" s="63"/>
      <c r="E2479" s="326"/>
      <c r="F2479" s="63"/>
    </row>
    <row r="2480" spans="1:6" ht="20.399999999999999">
      <c r="A2480" s="323"/>
      <c r="B2480" s="63"/>
      <c r="C2480" s="63"/>
      <c r="D2480" s="63"/>
      <c r="E2480" s="326"/>
      <c r="F2480" s="63"/>
    </row>
    <row r="2481" spans="1:6" ht="20.399999999999999">
      <c r="A2481" s="323"/>
      <c r="B2481" s="63"/>
      <c r="C2481" s="63"/>
      <c r="D2481" s="63"/>
      <c r="E2481" s="326"/>
      <c r="F2481" s="63"/>
    </row>
    <row r="2482" spans="1:6" ht="20.399999999999999">
      <c r="A2482" s="323"/>
      <c r="B2482" s="63"/>
      <c r="C2482" s="63"/>
      <c r="D2482" s="63"/>
      <c r="E2482" s="326"/>
      <c r="F2482" s="63"/>
    </row>
    <row r="2483" spans="1:6" ht="20.399999999999999">
      <c r="A2483" s="323"/>
      <c r="B2483" s="63"/>
      <c r="C2483" s="63"/>
      <c r="D2483" s="63"/>
      <c r="E2483" s="326"/>
      <c r="F2483" s="63"/>
    </row>
    <row r="2484" spans="1:6" ht="20.399999999999999">
      <c r="A2484" s="323"/>
      <c r="B2484" s="63"/>
      <c r="C2484" s="63"/>
      <c r="D2484" s="63"/>
      <c r="E2484" s="326"/>
      <c r="F2484" s="63"/>
    </row>
    <row r="2485" spans="1:6" ht="20.399999999999999">
      <c r="A2485" s="323"/>
      <c r="B2485" s="63"/>
      <c r="C2485" s="63"/>
      <c r="D2485" s="63"/>
      <c r="E2485" s="326"/>
      <c r="F2485" s="63"/>
    </row>
    <row r="2486" spans="1:6" ht="20.399999999999999">
      <c r="A2486" s="323"/>
      <c r="B2486" s="63"/>
      <c r="C2486" s="63"/>
      <c r="D2486" s="63"/>
      <c r="E2486" s="326"/>
      <c r="F2486" s="63"/>
    </row>
    <row r="2487" spans="1:6" ht="20.399999999999999">
      <c r="A2487" s="323"/>
      <c r="B2487" s="63"/>
      <c r="C2487" s="63"/>
      <c r="D2487" s="63"/>
      <c r="E2487" s="326"/>
      <c r="F2487" s="63"/>
    </row>
    <row r="2488" spans="1:6" ht="20.399999999999999">
      <c r="A2488" s="323"/>
      <c r="B2488" s="63"/>
      <c r="C2488" s="63"/>
      <c r="D2488" s="63"/>
      <c r="E2488" s="326"/>
      <c r="F2488" s="63"/>
    </row>
    <row r="2489" spans="1:6" ht="20.399999999999999">
      <c r="A2489" s="323"/>
      <c r="B2489" s="63"/>
      <c r="C2489" s="63"/>
      <c r="D2489" s="63"/>
      <c r="E2489" s="326"/>
      <c r="F2489" s="63"/>
    </row>
    <row r="2490" spans="1:6" ht="20.399999999999999">
      <c r="A2490" s="323"/>
      <c r="B2490" s="63"/>
      <c r="C2490" s="63"/>
      <c r="D2490" s="63"/>
      <c r="E2490" s="326"/>
      <c r="F2490" s="63"/>
    </row>
    <row r="2491" spans="1:6" ht="20.399999999999999">
      <c r="A2491" s="323"/>
      <c r="B2491" s="63"/>
      <c r="C2491" s="63"/>
      <c r="D2491" s="63"/>
      <c r="E2491" s="326"/>
      <c r="F2491" s="63"/>
    </row>
    <row r="2492" spans="1:6" ht="20.399999999999999">
      <c r="A2492" s="323"/>
      <c r="B2492" s="63"/>
      <c r="C2492" s="63"/>
      <c r="D2492" s="63"/>
      <c r="E2492" s="326"/>
      <c r="F2492" s="63"/>
    </row>
    <row r="2493" spans="1:6" ht="20.399999999999999">
      <c r="A2493" s="323"/>
      <c r="B2493" s="63"/>
      <c r="C2493" s="63"/>
      <c r="D2493" s="63"/>
      <c r="E2493" s="326"/>
      <c r="F2493" s="63"/>
    </row>
    <row r="2494" spans="1:6" ht="20.399999999999999">
      <c r="A2494" s="323"/>
      <c r="B2494" s="63"/>
      <c r="C2494" s="63"/>
      <c r="D2494" s="63"/>
      <c r="E2494" s="326"/>
      <c r="F2494" s="63"/>
    </row>
    <row r="2495" spans="1:6" ht="20.399999999999999">
      <c r="A2495" s="323"/>
      <c r="B2495" s="63"/>
      <c r="C2495" s="63"/>
      <c r="D2495" s="63"/>
      <c r="E2495" s="326"/>
      <c r="F2495" s="63"/>
    </row>
    <row r="2496" spans="1:6" ht="20.399999999999999">
      <c r="A2496" s="323"/>
      <c r="B2496" s="63"/>
      <c r="C2496" s="63"/>
      <c r="D2496" s="63"/>
      <c r="E2496" s="326"/>
      <c r="F2496" s="63"/>
    </row>
    <row r="2497" spans="1:6" ht="20.399999999999999">
      <c r="A2497" s="323"/>
      <c r="B2497" s="63"/>
      <c r="C2497" s="63"/>
      <c r="D2497" s="63"/>
      <c r="E2497" s="326"/>
      <c r="F2497" s="63"/>
    </row>
    <row r="2498" spans="1:6" ht="20.399999999999999">
      <c r="A2498" s="323"/>
      <c r="B2498" s="63"/>
      <c r="C2498" s="63"/>
      <c r="D2498" s="63"/>
      <c r="E2498" s="326"/>
      <c r="F2498" s="63"/>
    </row>
    <row r="2499" spans="1:6" ht="20.399999999999999">
      <c r="A2499" s="323"/>
      <c r="B2499" s="63"/>
      <c r="C2499" s="63"/>
      <c r="D2499" s="63"/>
      <c r="E2499" s="326"/>
      <c r="F2499" s="63"/>
    </row>
    <row r="2500" spans="1:6" ht="20.399999999999999">
      <c r="A2500" s="323"/>
      <c r="B2500" s="63"/>
      <c r="C2500" s="63"/>
      <c r="D2500" s="63"/>
      <c r="E2500" s="326"/>
      <c r="F2500" s="63"/>
    </row>
    <row r="2501" spans="1:6" ht="20.399999999999999">
      <c r="A2501" s="323"/>
      <c r="B2501" s="63"/>
      <c r="C2501" s="63"/>
      <c r="D2501" s="63"/>
      <c r="E2501" s="326"/>
      <c r="F2501" s="63"/>
    </row>
    <row r="2502" spans="1:6" ht="20.399999999999999">
      <c r="A2502" s="323"/>
      <c r="B2502" s="63"/>
      <c r="C2502" s="63"/>
      <c r="D2502" s="63"/>
      <c r="E2502" s="326"/>
      <c r="F2502" s="63"/>
    </row>
    <row r="2503" spans="1:6" ht="20.399999999999999">
      <c r="A2503" s="323"/>
      <c r="B2503" s="63"/>
      <c r="C2503" s="63"/>
      <c r="D2503" s="63"/>
      <c r="E2503" s="326"/>
      <c r="F2503" s="63"/>
    </row>
    <row r="2504" spans="1:6" ht="20.399999999999999">
      <c r="A2504" s="323"/>
      <c r="B2504" s="63"/>
      <c r="C2504" s="63"/>
      <c r="D2504" s="63"/>
      <c r="E2504" s="326"/>
      <c r="F2504" s="63"/>
    </row>
    <row r="2505" spans="1:6" ht="20.399999999999999">
      <c r="A2505" s="323"/>
      <c r="B2505" s="63"/>
      <c r="C2505" s="63"/>
      <c r="D2505" s="63"/>
      <c r="E2505" s="326"/>
      <c r="F2505" s="63"/>
    </row>
    <row r="2506" spans="1:6" ht="20.399999999999999">
      <c r="A2506" s="323"/>
      <c r="B2506" s="63"/>
      <c r="C2506" s="63"/>
      <c r="D2506" s="63"/>
      <c r="E2506" s="326"/>
      <c r="F2506" s="63"/>
    </row>
    <row r="2507" spans="1:6" ht="20.399999999999999">
      <c r="A2507" s="323"/>
      <c r="B2507" s="63"/>
      <c r="C2507" s="63"/>
      <c r="D2507" s="63"/>
      <c r="E2507" s="326"/>
      <c r="F2507" s="63"/>
    </row>
    <row r="2508" spans="1:6" ht="20.399999999999999">
      <c r="A2508" s="323"/>
      <c r="B2508" s="63"/>
      <c r="C2508" s="63"/>
      <c r="D2508" s="63"/>
      <c r="E2508" s="326"/>
      <c r="F2508" s="63"/>
    </row>
    <row r="2509" spans="1:6" ht="20.399999999999999">
      <c r="A2509" s="323"/>
      <c r="B2509" s="63"/>
      <c r="C2509" s="63"/>
      <c r="D2509" s="63"/>
      <c r="E2509" s="326"/>
      <c r="F2509" s="63"/>
    </row>
    <row r="2510" spans="1:6" ht="20.399999999999999">
      <c r="A2510" s="323"/>
      <c r="B2510" s="63"/>
      <c r="C2510" s="63"/>
      <c r="D2510" s="63"/>
      <c r="E2510" s="326"/>
      <c r="F2510" s="63"/>
    </row>
    <row r="2511" spans="1:6" ht="20.399999999999999">
      <c r="A2511" s="323"/>
      <c r="B2511" s="63"/>
      <c r="C2511" s="63"/>
      <c r="D2511" s="63"/>
      <c r="E2511" s="326"/>
      <c r="F2511" s="63"/>
    </row>
    <row r="2512" spans="1:6" ht="20.399999999999999">
      <c r="A2512" s="323"/>
      <c r="B2512" s="63"/>
      <c r="C2512" s="63"/>
      <c r="D2512" s="63"/>
      <c r="E2512" s="326"/>
      <c r="F2512" s="63"/>
    </row>
    <row r="2513" spans="1:6" ht="20.399999999999999">
      <c r="A2513" s="323"/>
      <c r="B2513" s="63"/>
      <c r="C2513" s="63"/>
      <c r="D2513" s="63"/>
      <c r="E2513" s="326"/>
      <c r="F2513" s="63"/>
    </row>
    <row r="2514" spans="1:6" ht="20.399999999999999">
      <c r="A2514" s="323"/>
      <c r="B2514" s="63"/>
      <c r="C2514" s="63"/>
      <c r="D2514" s="63"/>
      <c r="E2514" s="326"/>
      <c r="F2514" s="63"/>
    </row>
    <row r="2515" spans="1:6" ht="20.399999999999999">
      <c r="A2515" s="323"/>
      <c r="B2515" s="63"/>
      <c r="C2515" s="63"/>
      <c r="D2515" s="63"/>
      <c r="E2515" s="326"/>
      <c r="F2515" s="63"/>
    </row>
    <row r="2516" spans="1:6" ht="20.399999999999999">
      <c r="A2516" s="323"/>
      <c r="B2516" s="63"/>
      <c r="C2516" s="63"/>
      <c r="D2516" s="63"/>
      <c r="E2516" s="326"/>
      <c r="F2516" s="63"/>
    </row>
    <row r="2517" spans="1:6" ht="20.399999999999999">
      <c r="A2517" s="323"/>
      <c r="B2517" s="63"/>
      <c r="C2517" s="63"/>
      <c r="D2517" s="63"/>
      <c r="E2517" s="326"/>
      <c r="F2517" s="63"/>
    </row>
    <row r="2518" spans="1:6" ht="20.399999999999999">
      <c r="A2518" s="323"/>
      <c r="B2518" s="63"/>
      <c r="C2518" s="63"/>
      <c r="D2518" s="63"/>
      <c r="E2518" s="326"/>
      <c r="F2518" s="63"/>
    </row>
    <row r="2519" spans="1:6" ht="20.399999999999999">
      <c r="A2519" s="323"/>
      <c r="B2519" s="63"/>
      <c r="C2519" s="63"/>
      <c r="D2519" s="63"/>
      <c r="E2519" s="326"/>
      <c r="F2519" s="63"/>
    </row>
    <row r="2520" spans="1:6" ht="20.399999999999999">
      <c r="A2520" s="323"/>
      <c r="B2520" s="63"/>
      <c r="C2520" s="63"/>
      <c r="D2520" s="63"/>
      <c r="E2520" s="326"/>
      <c r="F2520" s="63"/>
    </row>
    <row r="2521" spans="1:6" ht="20.399999999999999">
      <c r="A2521" s="323"/>
      <c r="B2521" s="63"/>
      <c r="C2521" s="63"/>
      <c r="D2521" s="63"/>
      <c r="E2521" s="326"/>
      <c r="F2521" s="63"/>
    </row>
    <row r="2522" spans="1:6" ht="20.399999999999999">
      <c r="A2522" s="323"/>
      <c r="B2522" s="63"/>
      <c r="C2522" s="63"/>
      <c r="D2522" s="63"/>
      <c r="E2522" s="326"/>
      <c r="F2522" s="63"/>
    </row>
    <row r="2523" spans="1:6" ht="20.399999999999999">
      <c r="A2523" s="323"/>
      <c r="B2523" s="63"/>
      <c r="C2523" s="63"/>
      <c r="D2523" s="63"/>
      <c r="E2523" s="326"/>
      <c r="F2523" s="63"/>
    </row>
    <row r="2524" spans="1:6" ht="20.399999999999999">
      <c r="A2524" s="323"/>
      <c r="B2524" s="63"/>
      <c r="C2524" s="63"/>
      <c r="D2524" s="63"/>
      <c r="E2524" s="326"/>
      <c r="F2524" s="63"/>
    </row>
    <row r="2525" spans="1:6" ht="20.399999999999999">
      <c r="A2525" s="323"/>
      <c r="B2525" s="63"/>
      <c r="C2525" s="63"/>
      <c r="D2525" s="63"/>
      <c r="E2525" s="326"/>
      <c r="F2525" s="63"/>
    </row>
    <row r="2526" spans="1:6" ht="20.399999999999999">
      <c r="A2526" s="323"/>
      <c r="B2526" s="63"/>
      <c r="C2526" s="63"/>
      <c r="D2526" s="63"/>
      <c r="E2526" s="326"/>
      <c r="F2526" s="63"/>
    </row>
    <row r="2527" spans="1:6" ht="20.399999999999999">
      <c r="A2527" s="323"/>
      <c r="B2527" s="63"/>
      <c r="C2527" s="63"/>
      <c r="D2527" s="63"/>
      <c r="E2527" s="326"/>
      <c r="F2527" s="63"/>
    </row>
    <row r="2528" spans="1:6" ht="20.399999999999999">
      <c r="A2528" s="323"/>
      <c r="B2528" s="63"/>
      <c r="C2528" s="63"/>
      <c r="D2528" s="63"/>
      <c r="E2528" s="326"/>
      <c r="F2528" s="63"/>
    </row>
    <row r="2529" spans="1:6" ht="20.399999999999999">
      <c r="A2529" s="323"/>
      <c r="B2529" s="63"/>
      <c r="C2529" s="63"/>
      <c r="D2529" s="63"/>
      <c r="E2529" s="326"/>
      <c r="F2529" s="63"/>
    </row>
    <row r="2530" spans="1:6" ht="20.399999999999999">
      <c r="A2530" s="323"/>
      <c r="B2530" s="63"/>
      <c r="C2530" s="63"/>
      <c r="D2530" s="63"/>
      <c r="E2530" s="326"/>
      <c r="F2530" s="63"/>
    </row>
    <row r="2531" spans="1:6" ht="20.399999999999999">
      <c r="A2531" s="323"/>
      <c r="B2531" s="63"/>
      <c r="C2531" s="63"/>
      <c r="D2531" s="63"/>
      <c r="E2531" s="326"/>
      <c r="F2531" s="63"/>
    </row>
    <row r="2532" spans="1:6" ht="20.399999999999999">
      <c r="A2532" s="323"/>
      <c r="B2532" s="63"/>
      <c r="C2532" s="63"/>
      <c r="D2532" s="63"/>
      <c r="E2532" s="326"/>
      <c r="F2532" s="63"/>
    </row>
    <row r="2533" spans="1:6" ht="20.399999999999999">
      <c r="A2533" s="323"/>
      <c r="B2533" s="63"/>
      <c r="C2533" s="63"/>
      <c r="D2533" s="63"/>
      <c r="E2533" s="326"/>
      <c r="F2533" s="63"/>
    </row>
    <row r="2534" spans="1:6" ht="20.399999999999999">
      <c r="A2534" s="323"/>
      <c r="B2534" s="63"/>
      <c r="C2534" s="63"/>
      <c r="D2534" s="63"/>
      <c r="E2534" s="326"/>
      <c r="F2534" s="63"/>
    </row>
    <row r="2535" spans="1:6" ht="20.399999999999999">
      <c r="A2535" s="323"/>
      <c r="B2535" s="63"/>
      <c r="C2535" s="63"/>
      <c r="D2535" s="63"/>
      <c r="E2535" s="326"/>
      <c r="F2535" s="63"/>
    </row>
    <row r="2536" spans="1:6" ht="20.399999999999999">
      <c r="A2536" s="323"/>
      <c r="B2536" s="63"/>
      <c r="C2536" s="63"/>
      <c r="D2536" s="63"/>
      <c r="E2536" s="326"/>
      <c r="F2536" s="63"/>
    </row>
    <row r="2537" spans="1:6" ht="20.399999999999999">
      <c r="A2537" s="323"/>
      <c r="B2537" s="63"/>
      <c r="C2537" s="63"/>
      <c r="D2537" s="63"/>
      <c r="E2537" s="326"/>
      <c r="F2537" s="63"/>
    </row>
    <row r="2538" spans="1:6" ht="20.399999999999999">
      <c r="A2538" s="323"/>
      <c r="B2538" s="63"/>
      <c r="C2538" s="63"/>
      <c r="D2538" s="63"/>
      <c r="E2538" s="326"/>
      <c r="F2538" s="63"/>
    </row>
    <row r="2539" spans="1:6" ht="20.399999999999999">
      <c r="A2539" s="323"/>
      <c r="B2539" s="63"/>
      <c r="C2539" s="63"/>
      <c r="D2539" s="63"/>
      <c r="E2539" s="326"/>
      <c r="F2539" s="63"/>
    </row>
    <row r="2540" spans="1:6" ht="20.399999999999999">
      <c r="A2540" s="323"/>
      <c r="B2540" s="63"/>
      <c r="C2540" s="63"/>
      <c r="D2540" s="63"/>
      <c r="E2540" s="326"/>
      <c r="F2540" s="63"/>
    </row>
    <row r="2541" spans="1:6" ht="20.399999999999999">
      <c r="A2541" s="323"/>
      <c r="B2541" s="63"/>
      <c r="C2541" s="63"/>
      <c r="D2541" s="63"/>
      <c r="E2541" s="326"/>
      <c r="F2541" s="63"/>
    </row>
    <row r="2542" spans="1:6" ht="20.399999999999999">
      <c r="A2542" s="323"/>
      <c r="B2542" s="63"/>
      <c r="C2542" s="63"/>
      <c r="D2542" s="63"/>
      <c r="E2542" s="326"/>
      <c r="F2542" s="63"/>
    </row>
    <row r="2543" spans="1:6" ht="20.399999999999999">
      <c r="A2543" s="323"/>
      <c r="B2543" s="63"/>
      <c r="C2543" s="63"/>
      <c r="D2543" s="63"/>
      <c r="E2543" s="326"/>
      <c r="F2543" s="63"/>
    </row>
    <row r="2544" spans="1:6" ht="20.399999999999999">
      <c r="A2544" s="323"/>
      <c r="B2544" s="63"/>
      <c r="C2544" s="63"/>
      <c r="D2544" s="63"/>
      <c r="E2544" s="326"/>
      <c r="F2544" s="63"/>
    </row>
    <row r="2545" spans="1:6" ht="20.399999999999999">
      <c r="A2545" s="323"/>
      <c r="B2545" s="63"/>
      <c r="C2545" s="63"/>
      <c r="D2545" s="63"/>
      <c r="E2545" s="326"/>
      <c r="F2545" s="63"/>
    </row>
    <row r="2546" spans="1:6" ht="20.399999999999999">
      <c r="A2546" s="323"/>
      <c r="B2546" s="63"/>
      <c r="C2546" s="63"/>
      <c r="D2546" s="63"/>
      <c r="E2546" s="326"/>
      <c r="F2546" s="63"/>
    </row>
    <row r="2547" spans="1:6" ht="20.399999999999999">
      <c r="A2547" s="323"/>
      <c r="B2547" s="63"/>
      <c r="C2547" s="63"/>
      <c r="D2547" s="63"/>
      <c r="E2547" s="326"/>
      <c r="F2547" s="63"/>
    </row>
    <row r="2548" spans="1:6" ht="20.399999999999999">
      <c r="A2548" s="323"/>
      <c r="B2548" s="63"/>
      <c r="C2548" s="63"/>
      <c r="D2548" s="63"/>
      <c r="E2548" s="326"/>
      <c r="F2548" s="63"/>
    </row>
    <row r="2549" spans="1:6" ht="20.399999999999999">
      <c r="A2549" s="323"/>
      <c r="B2549" s="63"/>
      <c r="C2549" s="63"/>
      <c r="D2549" s="63"/>
      <c r="E2549" s="326"/>
      <c r="F2549" s="63"/>
    </row>
    <row r="2550" spans="1:6" ht="20.399999999999999">
      <c r="A2550" s="323"/>
      <c r="B2550" s="63"/>
      <c r="C2550" s="63"/>
      <c r="D2550" s="63"/>
      <c r="E2550" s="326"/>
      <c r="F2550" s="63"/>
    </row>
    <row r="2551" spans="1:6" ht="20.399999999999999">
      <c r="A2551" s="323"/>
      <c r="B2551" s="63"/>
      <c r="C2551" s="63"/>
      <c r="D2551" s="63"/>
      <c r="E2551" s="326"/>
      <c r="F2551" s="63"/>
    </row>
    <row r="2552" spans="1:6" ht="20.399999999999999">
      <c r="A2552" s="323"/>
      <c r="B2552" s="63"/>
      <c r="C2552" s="63"/>
      <c r="D2552" s="63"/>
      <c r="E2552" s="326"/>
      <c r="F2552" s="63"/>
    </row>
    <row r="2553" spans="1:6" ht="20.399999999999999">
      <c r="A2553" s="323"/>
      <c r="B2553" s="63"/>
      <c r="C2553" s="63"/>
      <c r="D2553" s="63"/>
      <c r="E2553" s="326"/>
      <c r="F2553" s="63"/>
    </row>
    <row r="2554" spans="1:6" ht="20.399999999999999">
      <c r="A2554" s="323"/>
      <c r="B2554" s="63"/>
      <c r="C2554" s="63"/>
      <c r="D2554" s="63"/>
      <c r="E2554" s="326"/>
      <c r="F2554" s="63"/>
    </row>
    <row r="2555" spans="1:6" ht="20.399999999999999">
      <c r="A2555" s="323"/>
      <c r="B2555" s="63"/>
      <c r="C2555" s="63"/>
      <c r="D2555" s="63"/>
      <c r="E2555" s="326"/>
      <c r="F2555" s="63"/>
    </row>
    <row r="2556" spans="1:6" ht="20.399999999999999">
      <c r="A2556" s="323"/>
      <c r="B2556" s="63"/>
      <c r="C2556" s="63"/>
      <c r="D2556" s="63"/>
      <c r="E2556" s="326"/>
      <c r="F2556" s="63"/>
    </row>
    <row r="2557" spans="1:6" ht="20.399999999999999">
      <c r="A2557" s="323"/>
      <c r="B2557" s="63"/>
      <c r="C2557" s="63"/>
      <c r="D2557" s="63"/>
      <c r="E2557" s="326"/>
      <c r="F2557" s="63"/>
    </row>
    <row r="2558" spans="1:6" ht="20.399999999999999">
      <c r="A2558" s="323"/>
      <c r="B2558" s="63"/>
      <c r="C2558" s="63"/>
      <c r="D2558" s="63"/>
      <c r="E2558" s="326"/>
      <c r="F2558" s="63"/>
    </row>
    <row r="2559" spans="1:6" ht="20.399999999999999">
      <c r="A2559" s="323"/>
      <c r="B2559" s="63"/>
      <c r="C2559" s="63"/>
      <c r="D2559" s="63"/>
      <c r="E2559" s="326"/>
      <c r="F2559" s="63"/>
    </row>
    <row r="2560" spans="1:6" ht="20.399999999999999">
      <c r="A2560" s="323"/>
      <c r="B2560" s="63"/>
      <c r="C2560" s="63"/>
      <c r="D2560" s="63"/>
      <c r="E2560" s="326"/>
      <c r="F2560" s="63"/>
    </row>
    <row r="2561" spans="1:6" ht="20.399999999999999">
      <c r="A2561" s="323"/>
      <c r="B2561" s="63"/>
      <c r="C2561" s="63"/>
      <c r="D2561" s="63"/>
      <c r="E2561" s="326"/>
      <c r="F2561" s="63"/>
    </row>
    <row r="2562" spans="1:6" ht="20.399999999999999">
      <c r="A2562" s="323"/>
      <c r="B2562" s="63"/>
      <c r="C2562" s="63"/>
      <c r="D2562" s="63"/>
      <c r="E2562" s="326"/>
      <c r="F2562" s="63"/>
    </row>
    <row r="2563" spans="1:6" ht="20.399999999999999">
      <c r="A2563" s="323"/>
      <c r="B2563" s="63"/>
      <c r="C2563" s="63"/>
      <c r="D2563" s="63"/>
      <c r="E2563" s="326"/>
      <c r="F2563" s="63"/>
    </row>
    <row r="2564" spans="1:6" ht="20.399999999999999">
      <c r="A2564" s="323"/>
      <c r="B2564" s="63"/>
      <c r="C2564" s="63"/>
      <c r="D2564" s="63"/>
      <c r="E2564" s="326"/>
      <c r="F2564" s="63"/>
    </row>
    <row r="2565" spans="1:6" ht="20.399999999999999">
      <c r="A2565" s="323"/>
      <c r="B2565" s="63"/>
      <c r="C2565" s="63"/>
      <c r="D2565" s="63"/>
      <c r="E2565" s="326"/>
      <c r="F2565" s="63"/>
    </row>
    <row r="2566" spans="1:6" ht="20.399999999999999">
      <c r="A2566" s="323"/>
      <c r="B2566" s="63"/>
      <c r="C2566" s="63"/>
      <c r="D2566" s="63"/>
      <c r="E2566" s="326"/>
      <c r="F2566" s="63"/>
    </row>
    <row r="2567" spans="1:6" ht="20.399999999999999">
      <c r="A2567" s="323"/>
      <c r="B2567" s="63"/>
      <c r="C2567" s="63"/>
      <c r="D2567" s="63"/>
      <c r="E2567" s="326"/>
      <c r="F2567" s="63"/>
    </row>
    <row r="2568" spans="1:6" ht="20.399999999999999">
      <c r="A2568" s="323"/>
      <c r="B2568" s="63"/>
      <c r="C2568" s="63"/>
      <c r="D2568" s="63"/>
      <c r="E2568" s="326"/>
      <c r="F2568" s="63"/>
    </row>
    <row r="2569" spans="1:6" ht="20.399999999999999">
      <c r="A2569" s="323"/>
      <c r="B2569" s="63"/>
      <c r="C2569" s="63"/>
      <c r="D2569" s="63"/>
      <c r="E2569" s="326"/>
      <c r="F2569" s="63"/>
    </row>
    <row r="2570" spans="1:6" ht="20.399999999999999">
      <c r="A2570" s="323"/>
      <c r="B2570" s="63"/>
      <c r="C2570" s="63"/>
      <c r="D2570" s="63"/>
      <c r="E2570" s="326"/>
      <c r="F2570" s="63"/>
    </row>
    <row r="2571" spans="1:6" ht="20.399999999999999">
      <c r="A2571" s="323"/>
      <c r="B2571" s="63"/>
      <c r="C2571" s="63"/>
      <c r="D2571" s="63"/>
      <c r="E2571" s="326"/>
      <c r="F2571" s="63"/>
    </row>
    <row r="2572" spans="1:6" ht="20.399999999999999">
      <c r="A2572" s="323"/>
      <c r="B2572" s="63"/>
      <c r="C2572" s="63"/>
      <c r="D2572" s="63"/>
      <c r="E2572" s="326"/>
      <c r="F2572" s="63"/>
    </row>
    <row r="2573" spans="1:6" ht="20.399999999999999">
      <c r="A2573" s="323"/>
      <c r="B2573" s="63"/>
      <c r="C2573" s="63"/>
      <c r="D2573" s="63"/>
      <c r="E2573" s="326"/>
      <c r="F2573" s="63"/>
    </row>
    <row r="2574" spans="1:6" ht="20.399999999999999">
      <c r="A2574" s="323"/>
      <c r="B2574" s="63"/>
      <c r="C2574" s="63"/>
      <c r="D2574" s="63"/>
      <c r="E2574" s="326"/>
      <c r="F2574" s="63"/>
    </row>
    <row r="2575" spans="1:6" ht="20.399999999999999">
      <c r="A2575" s="323"/>
      <c r="B2575" s="63"/>
      <c r="C2575" s="63"/>
      <c r="D2575" s="63"/>
      <c r="E2575" s="326"/>
      <c r="F2575" s="63"/>
    </row>
    <row r="2576" spans="1:6" ht="20.399999999999999">
      <c r="A2576" s="323"/>
      <c r="B2576" s="63"/>
      <c r="C2576" s="63"/>
      <c r="D2576" s="63"/>
      <c r="E2576" s="326"/>
      <c r="F2576" s="63"/>
    </row>
    <row r="2577" spans="1:6" ht="20.399999999999999">
      <c r="A2577" s="323"/>
      <c r="B2577" s="63"/>
      <c r="C2577" s="63"/>
      <c r="D2577" s="63"/>
      <c r="E2577" s="326"/>
      <c r="F2577" s="63"/>
    </row>
    <row r="2578" spans="1:6" ht="20.399999999999999">
      <c r="A2578" s="323"/>
      <c r="B2578" s="63"/>
      <c r="C2578" s="63"/>
      <c r="D2578" s="63"/>
      <c r="E2578" s="326"/>
      <c r="F2578" s="63"/>
    </row>
    <row r="2579" spans="1:6" ht="20.399999999999999">
      <c r="A2579" s="323"/>
      <c r="B2579" s="63"/>
      <c r="C2579" s="63"/>
      <c r="D2579" s="63"/>
      <c r="E2579" s="326"/>
      <c r="F2579" s="63"/>
    </row>
    <row r="2580" spans="1:6" ht="20.399999999999999">
      <c r="A2580" s="323"/>
      <c r="B2580" s="63"/>
      <c r="C2580" s="63"/>
      <c r="D2580" s="63"/>
      <c r="E2580" s="326"/>
      <c r="F2580" s="63"/>
    </row>
    <row r="2581" spans="1:6" ht="20.399999999999999">
      <c r="A2581" s="323"/>
      <c r="B2581" s="63"/>
      <c r="C2581" s="63"/>
      <c r="D2581" s="63"/>
      <c r="E2581" s="326"/>
      <c r="F2581" s="63"/>
    </row>
    <row r="2582" spans="1:6" ht="20.399999999999999">
      <c r="A2582" s="323"/>
      <c r="B2582" s="63"/>
      <c r="C2582" s="63"/>
      <c r="D2582" s="63"/>
      <c r="E2582" s="326"/>
      <c r="F2582" s="63"/>
    </row>
    <row r="2583" spans="1:6" ht="20.399999999999999">
      <c r="A2583" s="323"/>
      <c r="B2583" s="63"/>
      <c r="C2583" s="63"/>
      <c r="D2583" s="63"/>
      <c r="E2583" s="326"/>
      <c r="F2583" s="63"/>
    </row>
    <row r="2584" spans="1:6" ht="20.399999999999999">
      <c r="A2584" s="323"/>
      <c r="B2584" s="63"/>
      <c r="C2584" s="63"/>
      <c r="D2584" s="63"/>
      <c r="E2584" s="326"/>
      <c r="F2584" s="63"/>
    </row>
    <row r="2585" spans="1:6" ht="20.399999999999999">
      <c r="A2585" s="323"/>
      <c r="B2585" s="63"/>
      <c r="C2585" s="63"/>
      <c r="D2585" s="63"/>
      <c r="E2585" s="326"/>
      <c r="F2585" s="63"/>
    </row>
    <row r="2586" spans="1:6" ht="20.399999999999999">
      <c r="A2586" s="323"/>
      <c r="B2586" s="63"/>
      <c r="C2586" s="63"/>
      <c r="D2586" s="63"/>
      <c r="E2586" s="326"/>
      <c r="F2586" s="63"/>
    </row>
    <row r="2587" spans="1:6" ht="20.399999999999999">
      <c r="A2587" s="323"/>
      <c r="B2587" s="63"/>
      <c r="C2587" s="63"/>
      <c r="D2587" s="63"/>
      <c r="E2587" s="326"/>
      <c r="F2587" s="63"/>
    </row>
    <row r="2588" spans="1:6" ht="20.399999999999999">
      <c r="A2588" s="323"/>
      <c r="B2588" s="63"/>
      <c r="C2588" s="63"/>
      <c r="D2588" s="63"/>
      <c r="E2588" s="326"/>
      <c r="F2588" s="63"/>
    </row>
    <row r="2589" spans="1:6" ht="20.399999999999999">
      <c r="A2589" s="323"/>
      <c r="B2589" s="63"/>
      <c r="C2589" s="63"/>
      <c r="D2589" s="63"/>
      <c r="E2589" s="326"/>
      <c r="F2589" s="63"/>
    </row>
    <row r="2590" spans="1:6" ht="20.399999999999999">
      <c r="A2590" s="323"/>
      <c r="B2590" s="63"/>
      <c r="C2590" s="63"/>
      <c r="D2590" s="63"/>
      <c r="E2590" s="326"/>
      <c r="F2590" s="63"/>
    </row>
    <row r="2591" spans="1:6" ht="20.399999999999999">
      <c r="A2591" s="323"/>
      <c r="B2591" s="63"/>
      <c r="C2591" s="63"/>
      <c r="D2591" s="63"/>
      <c r="E2591" s="326"/>
      <c r="F2591" s="63"/>
    </row>
    <row r="2592" spans="1:6" ht="20.399999999999999">
      <c r="A2592" s="323"/>
      <c r="B2592" s="63"/>
      <c r="C2592" s="63"/>
      <c r="D2592" s="63"/>
      <c r="E2592" s="326"/>
      <c r="F2592" s="63"/>
    </row>
    <row r="2593" spans="1:6" ht="20.399999999999999">
      <c r="A2593" s="323"/>
      <c r="B2593" s="63"/>
      <c r="C2593" s="63"/>
      <c r="D2593" s="63"/>
      <c r="E2593" s="326"/>
      <c r="F2593" s="63"/>
    </row>
    <row r="2594" spans="1:6" ht="20.399999999999999">
      <c r="A2594" s="323"/>
      <c r="B2594" s="63"/>
      <c r="C2594" s="63"/>
      <c r="D2594" s="63"/>
      <c r="E2594" s="326"/>
      <c r="F2594" s="63"/>
    </row>
    <row r="2595" spans="1:6" ht="20.399999999999999">
      <c r="A2595" s="323"/>
      <c r="B2595" s="63"/>
      <c r="C2595" s="63"/>
      <c r="D2595" s="63"/>
      <c r="E2595" s="326"/>
      <c r="F2595" s="63"/>
    </row>
    <row r="2596" spans="1:6" ht="20.399999999999999">
      <c r="A2596" s="323"/>
      <c r="B2596" s="63"/>
      <c r="C2596" s="63"/>
      <c r="D2596" s="63"/>
      <c r="E2596" s="326"/>
      <c r="F2596" s="63"/>
    </row>
    <row r="2597" spans="1:6" ht="20.399999999999999">
      <c r="A2597" s="323"/>
      <c r="B2597" s="63"/>
      <c r="C2597" s="63"/>
      <c r="D2597" s="63"/>
      <c r="E2597" s="326"/>
      <c r="F2597" s="63"/>
    </row>
    <row r="2598" spans="1:6" ht="20.399999999999999">
      <c r="A2598" s="323"/>
      <c r="B2598" s="63"/>
      <c r="C2598" s="63"/>
      <c r="D2598" s="63"/>
      <c r="E2598" s="326"/>
      <c r="F2598" s="63"/>
    </row>
    <row r="2599" spans="1:6" ht="20.399999999999999">
      <c r="A2599" s="323"/>
      <c r="B2599" s="63"/>
      <c r="C2599" s="63"/>
      <c r="D2599" s="63"/>
      <c r="E2599" s="326"/>
      <c r="F2599" s="63"/>
    </row>
    <row r="2600" spans="1:6" ht="20.399999999999999">
      <c r="A2600" s="323"/>
      <c r="B2600" s="63"/>
      <c r="C2600" s="63"/>
      <c r="D2600" s="63"/>
      <c r="E2600" s="326"/>
      <c r="F2600" s="63"/>
    </row>
    <row r="2601" spans="1:6" ht="20.399999999999999">
      <c r="A2601" s="323"/>
      <c r="B2601" s="63"/>
      <c r="C2601" s="63"/>
      <c r="D2601" s="63"/>
      <c r="E2601" s="326"/>
      <c r="F2601" s="63"/>
    </row>
    <row r="2602" spans="1:6" ht="20.399999999999999">
      <c r="A2602" s="323"/>
      <c r="B2602" s="63"/>
      <c r="C2602" s="63"/>
      <c r="D2602" s="63"/>
      <c r="E2602" s="326"/>
      <c r="F2602" s="63"/>
    </row>
    <row r="2603" spans="1:6" ht="20.399999999999999">
      <c r="A2603" s="323"/>
      <c r="B2603" s="63"/>
      <c r="C2603" s="63"/>
      <c r="D2603" s="63"/>
      <c r="E2603" s="326"/>
      <c r="F2603" s="63"/>
    </row>
    <row r="2604" spans="1:6" ht="20.399999999999999">
      <c r="A2604" s="323"/>
      <c r="B2604" s="63"/>
      <c r="C2604" s="63"/>
      <c r="D2604" s="63"/>
      <c r="E2604" s="326"/>
      <c r="F2604" s="63"/>
    </row>
    <row r="2605" spans="1:6" ht="20.399999999999999">
      <c r="A2605" s="323"/>
      <c r="B2605" s="63"/>
      <c r="C2605" s="63"/>
      <c r="D2605" s="63"/>
      <c r="E2605" s="326"/>
      <c r="F2605" s="63"/>
    </row>
    <row r="2606" spans="1:6" ht="20.399999999999999">
      <c r="A2606" s="323"/>
      <c r="B2606" s="63"/>
      <c r="C2606" s="63"/>
      <c r="D2606" s="63"/>
      <c r="E2606" s="326"/>
      <c r="F2606" s="63"/>
    </row>
    <row r="2607" spans="1:6" ht="20.399999999999999">
      <c r="A2607" s="323"/>
      <c r="B2607" s="63"/>
      <c r="C2607" s="63"/>
      <c r="D2607" s="63"/>
      <c r="E2607" s="326"/>
      <c r="F2607" s="63"/>
    </row>
    <row r="2608" spans="1:6" ht="20.399999999999999">
      <c r="A2608" s="323"/>
      <c r="B2608" s="63"/>
      <c r="C2608" s="63"/>
      <c r="D2608" s="63"/>
      <c r="E2608" s="326"/>
      <c r="F2608" s="63"/>
    </row>
    <row r="2609" spans="1:6" ht="20.399999999999999">
      <c r="A2609" s="323"/>
      <c r="B2609" s="63"/>
      <c r="C2609" s="63"/>
      <c r="D2609" s="63"/>
      <c r="E2609" s="326"/>
      <c r="F2609" s="63"/>
    </row>
    <row r="2610" spans="1:6" ht="20.399999999999999">
      <c r="A2610" s="323"/>
      <c r="B2610" s="63"/>
      <c r="C2610" s="63"/>
      <c r="D2610" s="63"/>
      <c r="E2610" s="326"/>
      <c r="F2610" s="63"/>
    </row>
    <row r="2611" spans="1:6" ht="20.399999999999999">
      <c r="A2611" s="323"/>
      <c r="B2611" s="63"/>
      <c r="C2611" s="63"/>
      <c r="D2611" s="63"/>
      <c r="E2611" s="326"/>
      <c r="F2611" s="63"/>
    </row>
    <row r="2612" spans="1:6" ht="20.399999999999999">
      <c r="A2612" s="323"/>
      <c r="B2612" s="63"/>
      <c r="C2612" s="63"/>
      <c r="D2612" s="63"/>
      <c r="E2612" s="326"/>
      <c r="F2612" s="63"/>
    </row>
    <row r="2613" spans="1:6" ht="20.399999999999999">
      <c r="A2613" s="323"/>
      <c r="B2613" s="63"/>
      <c r="C2613" s="63"/>
      <c r="D2613" s="63"/>
      <c r="E2613" s="326"/>
      <c r="F2613" s="63"/>
    </row>
    <row r="2614" spans="1:6" ht="20.399999999999999">
      <c r="A2614" s="323"/>
      <c r="B2614" s="63"/>
      <c r="C2614" s="63"/>
      <c r="D2614" s="63"/>
      <c r="E2614" s="326"/>
      <c r="F2614" s="63"/>
    </row>
    <row r="2615" spans="1:6" ht="20.399999999999999">
      <c r="A2615" s="323"/>
      <c r="B2615" s="63"/>
      <c r="C2615" s="63"/>
      <c r="D2615" s="63"/>
      <c r="E2615" s="326"/>
      <c r="F2615" s="63"/>
    </row>
    <row r="2616" spans="1:6" ht="20.399999999999999">
      <c r="A2616" s="323"/>
      <c r="B2616" s="63"/>
      <c r="C2616" s="63"/>
      <c r="D2616" s="63"/>
      <c r="E2616" s="326"/>
      <c r="F2616" s="63"/>
    </row>
    <row r="2617" spans="1:6" ht="20.399999999999999">
      <c r="A2617" s="323"/>
      <c r="B2617" s="63"/>
      <c r="C2617" s="63"/>
      <c r="D2617" s="63"/>
      <c r="E2617" s="326"/>
      <c r="F2617" s="63"/>
    </row>
    <row r="2618" spans="1:6" ht="20.399999999999999">
      <c r="A2618" s="323"/>
      <c r="B2618" s="63"/>
      <c r="C2618" s="63"/>
      <c r="D2618" s="63"/>
      <c r="E2618" s="326"/>
      <c r="F2618" s="63"/>
    </row>
    <row r="2619" spans="1:6" ht="20.399999999999999">
      <c r="A2619" s="323"/>
      <c r="B2619" s="63"/>
      <c r="C2619" s="63"/>
      <c r="D2619" s="63"/>
      <c r="E2619" s="326"/>
      <c r="F2619" s="63"/>
    </row>
    <row r="2620" spans="1:6" ht="20.399999999999999">
      <c r="A2620" s="323"/>
      <c r="B2620" s="63"/>
      <c r="C2620" s="63"/>
      <c r="D2620" s="63"/>
      <c r="E2620" s="326"/>
      <c r="F2620" s="63"/>
    </row>
    <row r="2621" spans="1:6" ht="20.399999999999999">
      <c r="A2621" s="323"/>
      <c r="B2621" s="63"/>
      <c r="C2621" s="63"/>
      <c r="D2621" s="63"/>
      <c r="E2621" s="326"/>
      <c r="F2621" s="63"/>
    </row>
    <row r="2622" spans="1:6" ht="20.399999999999999">
      <c r="A2622" s="323"/>
      <c r="B2622" s="63"/>
      <c r="C2622" s="63"/>
      <c r="D2622" s="63"/>
      <c r="E2622" s="326"/>
      <c r="F2622" s="63"/>
    </row>
    <row r="2623" spans="1:6" ht="20.399999999999999">
      <c r="A2623" s="323"/>
      <c r="B2623" s="63"/>
      <c r="C2623" s="63"/>
      <c r="D2623" s="63"/>
      <c r="E2623" s="326"/>
      <c r="F2623" s="63"/>
    </row>
    <row r="2624" spans="1:6" ht="20.399999999999999">
      <c r="A2624" s="323"/>
      <c r="B2624" s="63"/>
      <c r="C2624" s="63"/>
      <c r="D2624" s="63"/>
      <c r="E2624" s="326"/>
      <c r="F2624" s="63"/>
    </row>
    <row r="2625" spans="1:6" ht="20.399999999999999">
      <c r="A2625" s="323"/>
      <c r="B2625" s="63"/>
      <c r="C2625" s="63"/>
      <c r="D2625" s="63"/>
      <c r="E2625" s="326"/>
      <c r="F2625" s="63"/>
    </row>
    <row r="2626" spans="1:6" ht="20.399999999999999">
      <c r="A2626" s="323"/>
      <c r="B2626" s="63"/>
      <c r="C2626" s="63"/>
      <c r="D2626" s="63"/>
      <c r="E2626" s="326"/>
      <c r="F2626" s="63"/>
    </row>
    <row r="2627" spans="1:6" ht="20.399999999999999">
      <c r="A2627" s="323"/>
      <c r="B2627" s="63"/>
      <c r="C2627" s="63"/>
      <c r="D2627" s="63"/>
      <c r="E2627" s="326"/>
      <c r="F2627" s="63"/>
    </row>
    <row r="2628" spans="1:6" ht="20.399999999999999">
      <c r="A2628" s="323"/>
      <c r="B2628" s="63"/>
      <c r="C2628" s="63"/>
      <c r="D2628" s="63"/>
      <c r="E2628" s="326"/>
      <c r="F2628" s="63"/>
    </row>
    <row r="2629" spans="1:6" ht="20.399999999999999">
      <c r="A2629" s="323"/>
      <c r="B2629" s="63"/>
      <c r="C2629" s="63"/>
      <c r="D2629" s="63"/>
      <c r="E2629" s="326"/>
      <c r="F2629" s="63"/>
    </row>
    <row r="2630" spans="1:6" ht="20.399999999999999">
      <c r="A2630" s="323"/>
      <c r="B2630" s="63"/>
      <c r="C2630" s="63"/>
      <c r="D2630" s="63"/>
      <c r="E2630" s="326"/>
      <c r="F2630" s="63"/>
    </row>
    <row r="2631" spans="1:6" ht="20.399999999999999">
      <c r="A2631" s="323"/>
      <c r="B2631" s="63"/>
      <c r="C2631" s="63"/>
      <c r="D2631" s="63"/>
      <c r="E2631" s="326"/>
      <c r="F2631" s="63"/>
    </row>
    <row r="2632" spans="1:6" ht="20.399999999999999">
      <c r="A2632" s="323"/>
      <c r="B2632" s="63"/>
      <c r="C2632" s="63"/>
      <c r="D2632" s="63"/>
      <c r="E2632" s="326"/>
      <c r="F2632" s="63"/>
    </row>
    <row r="2633" spans="1:6" ht="20.399999999999999">
      <c r="A2633" s="323"/>
      <c r="B2633" s="63"/>
      <c r="C2633" s="63"/>
      <c r="D2633" s="63"/>
      <c r="E2633" s="326"/>
      <c r="F2633" s="63"/>
    </row>
    <row r="2634" spans="1:6" ht="20.399999999999999">
      <c r="A2634" s="323"/>
      <c r="B2634" s="63"/>
      <c r="C2634" s="63"/>
      <c r="D2634" s="63"/>
      <c r="E2634" s="326"/>
      <c r="F2634" s="63"/>
    </row>
    <row r="2635" spans="1:6" ht="20.399999999999999">
      <c r="A2635" s="323"/>
      <c r="B2635" s="63"/>
      <c r="C2635" s="63"/>
      <c r="D2635" s="63"/>
      <c r="E2635" s="326"/>
      <c r="F2635" s="63"/>
    </row>
    <row r="2636" spans="1:6" ht="20.399999999999999">
      <c r="A2636" s="323"/>
      <c r="B2636" s="63"/>
      <c r="C2636" s="63"/>
      <c r="D2636" s="63"/>
      <c r="E2636" s="326"/>
      <c r="F2636" s="63"/>
    </row>
    <row r="2637" spans="1:6" ht="20.399999999999999">
      <c r="A2637" s="323"/>
      <c r="B2637" s="63"/>
      <c r="C2637" s="63"/>
      <c r="D2637" s="63"/>
      <c r="E2637" s="326"/>
      <c r="F2637" s="63"/>
    </row>
    <row r="2638" spans="1:6" ht="20.399999999999999">
      <c r="A2638" s="323"/>
      <c r="B2638" s="63"/>
      <c r="C2638" s="63"/>
      <c r="D2638" s="63"/>
      <c r="E2638" s="326"/>
      <c r="F2638" s="63"/>
    </row>
    <row r="2639" spans="1:6" ht="20.399999999999999">
      <c r="A2639" s="323"/>
      <c r="B2639" s="63"/>
      <c r="C2639" s="63"/>
      <c r="D2639" s="63"/>
      <c r="E2639" s="326"/>
      <c r="F2639" s="63"/>
    </row>
    <row r="2640" spans="1:6" ht="20.399999999999999">
      <c r="A2640" s="323"/>
      <c r="B2640" s="63"/>
      <c r="C2640" s="63"/>
      <c r="D2640" s="63"/>
      <c r="E2640" s="326"/>
      <c r="F2640" s="63"/>
    </row>
    <row r="2641" spans="1:6" ht="20.399999999999999">
      <c r="A2641" s="323"/>
      <c r="B2641" s="63"/>
      <c r="C2641" s="63"/>
      <c r="D2641" s="63"/>
      <c r="E2641" s="326"/>
      <c r="F2641" s="63"/>
    </row>
    <row r="2642" spans="1:6" ht="20.399999999999999">
      <c r="A2642" s="323"/>
      <c r="B2642" s="63"/>
      <c r="C2642" s="63"/>
      <c r="D2642" s="63"/>
      <c r="E2642" s="326"/>
      <c r="F2642" s="63"/>
    </row>
    <row r="2643" spans="1:6" ht="20.399999999999999">
      <c r="A2643" s="323"/>
      <c r="B2643" s="63"/>
      <c r="C2643" s="63"/>
      <c r="D2643" s="63"/>
      <c r="E2643" s="326"/>
      <c r="F2643" s="63"/>
    </row>
    <row r="2644" spans="1:6" ht="20.399999999999999">
      <c r="A2644" s="323"/>
      <c r="B2644" s="63"/>
      <c r="C2644" s="63"/>
      <c r="D2644" s="63"/>
      <c r="E2644" s="326"/>
      <c r="F2644" s="63"/>
    </row>
    <row r="2645" spans="1:6" ht="20.399999999999999">
      <c r="A2645" s="323"/>
      <c r="B2645" s="63"/>
      <c r="C2645" s="63"/>
      <c r="D2645" s="63"/>
      <c r="E2645" s="326"/>
      <c r="F2645" s="63"/>
    </row>
    <row r="2646" spans="1:6" ht="20.399999999999999">
      <c r="A2646" s="323"/>
      <c r="B2646" s="63"/>
      <c r="C2646" s="63"/>
      <c r="D2646" s="63"/>
      <c r="E2646" s="326"/>
      <c r="F2646" s="63"/>
    </row>
    <row r="2647" spans="1:6" ht="20.399999999999999">
      <c r="A2647" s="323"/>
      <c r="B2647" s="63"/>
      <c r="C2647" s="63"/>
      <c r="D2647" s="63"/>
      <c r="E2647" s="326"/>
      <c r="F2647" s="63"/>
    </row>
    <row r="2648" spans="1:6" ht="20.399999999999999">
      <c r="A2648" s="323"/>
      <c r="B2648" s="63"/>
      <c r="C2648" s="63"/>
      <c r="D2648" s="63"/>
      <c r="E2648" s="326"/>
      <c r="F2648" s="63"/>
    </row>
    <row r="2649" spans="1:6" ht="20.399999999999999">
      <c r="A2649" s="323"/>
      <c r="B2649" s="63"/>
      <c r="C2649" s="63"/>
      <c r="D2649" s="63"/>
      <c r="E2649" s="326"/>
      <c r="F2649" s="63"/>
    </row>
    <row r="2650" spans="1:6" ht="20.399999999999999">
      <c r="A2650" s="323"/>
      <c r="B2650" s="63"/>
      <c r="C2650" s="63"/>
      <c r="D2650" s="63"/>
      <c r="E2650" s="326"/>
      <c r="F2650" s="63"/>
    </row>
    <row r="2651" spans="1:6" ht="20.399999999999999">
      <c r="A2651" s="323"/>
      <c r="B2651" s="63"/>
      <c r="C2651" s="63"/>
      <c r="D2651" s="63"/>
      <c r="E2651" s="326"/>
      <c r="F2651" s="63"/>
    </row>
    <row r="2652" spans="1:6" ht="20.399999999999999">
      <c r="A2652" s="323"/>
      <c r="B2652" s="63"/>
      <c r="C2652" s="63"/>
      <c r="D2652" s="63"/>
      <c r="E2652" s="326"/>
      <c r="F2652" s="63"/>
    </row>
    <row r="2653" spans="1:6" ht="20.399999999999999">
      <c r="A2653" s="323"/>
      <c r="B2653" s="63"/>
      <c r="C2653" s="63"/>
      <c r="D2653" s="63"/>
      <c r="E2653" s="326"/>
      <c r="F2653" s="63"/>
    </row>
    <row r="2654" spans="1:6" ht="20.399999999999999">
      <c r="A2654" s="323"/>
      <c r="B2654" s="63"/>
      <c r="C2654" s="63"/>
      <c r="D2654" s="63"/>
      <c r="E2654" s="326"/>
      <c r="F2654" s="63"/>
    </row>
    <row r="2655" spans="1:6" ht="20.399999999999999">
      <c r="A2655" s="323"/>
      <c r="B2655" s="63"/>
      <c r="C2655" s="63"/>
      <c r="D2655" s="63"/>
      <c r="E2655" s="326"/>
      <c r="F2655" s="63"/>
    </row>
    <row r="2656" spans="1:6" ht="20.399999999999999">
      <c r="A2656" s="323"/>
      <c r="B2656" s="63"/>
      <c r="C2656" s="63"/>
      <c r="D2656" s="63"/>
      <c r="E2656" s="326"/>
      <c r="F2656" s="63"/>
    </row>
    <row r="2657" spans="1:6" ht="20.399999999999999">
      <c r="A2657" s="323"/>
      <c r="B2657" s="63"/>
      <c r="C2657" s="63"/>
      <c r="D2657" s="63"/>
      <c r="E2657" s="326"/>
      <c r="F2657" s="63"/>
    </row>
    <row r="2658" spans="1:6" ht="20.399999999999999">
      <c r="A2658" s="323"/>
      <c r="B2658" s="63"/>
      <c r="C2658" s="63"/>
      <c r="D2658" s="63"/>
      <c r="E2658" s="326"/>
      <c r="F2658" s="63"/>
    </row>
    <row r="2659" spans="1:6" ht="20.399999999999999">
      <c r="A2659" s="323"/>
      <c r="B2659" s="63"/>
      <c r="C2659" s="63"/>
      <c r="D2659" s="63"/>
      <c r="E2659" s="326"/>
      <c r="F2659" s="63"/>
    </row>
    <row r="2660" spans="1:6" ht="20.399999999999999">
      <c r="A2660" s="323"/>
      <c r="B2660" s="63"/>
      <c r="C2660" s="63"/>
      <c r="D2660" s="63"/>
      <c r="E2660" s="326"/>
      <c r="F2660" s="63"/>
    </row>
    <row r="2661" spans="1:6" ht="20.399999999999999">
      <c r="A2661" s="323"/>
      <c r="B2661" s="63"/>
      <c r="C2661" s="63"/>
      <c r="D2661" s="63"/>
      <c r="E2661" s="326"/>
      <c r="F2661" s="63"/>
    </row>
    <row r="2662" spans="1:6" ht="20.399999999999999">
      <c r="A2662" s="323"/>
      <c r="B2662" s="63"/>
      <c r="C2662" s="63"/>
      <c r="D2662" s="63"/>
      <c r="E2662" s="326"/>
      <c r="F2662" s="63"/>
    </row>
    <row r="2663" spans="1:6" ht="20.399999999999999">
      <c r="A2663" s="323"/>
      <c r="B2663" s="63"/>
      <c r="C2663" s="63"/>
      <c r="D2663" s="63"/>
      <c r="E2663" s="326"/>
      <c r="F2663" s="63"/>
    </row>
    <row r="2664" spans="1:6" ht="20.399999999999999">
      <c r="A2664" s="323"/>
      <c r="B2664" s="63"/>
      <c r="C2664" s="63"/>
      <c r="D2664" s="63"/>
      <c r="E2664" s="326"/>
      <c r="F2664" s="63"/>
    </row>
    <row r="2665" spans="1:6" ht="20.399999999999999">
      <c r="A2665" s="323"/>
      <c r="B2665" s="63"/>
      <c r="C2665" s="63"/>
      <c r="D2665" s="63"/>
      <c r="E2665" s="326"/>
      <c r="F2665" s="63"/>
    </row>
    <row r="2666" spans="1:6" ht="20.399999999999999">
      <c r="A2666" s="323"/>
      <c r="B2666" s="63"/>
      <c r="C2666" s="63"/>
      <c r="D2666" s="63"/>
      <c r="E2666" s="326"/>
      <c r="F2666" s="63"/>
    </row>
    <row r="2667" spans="1:6" ht="20.399999999999999">
      <c r="A2667" s="323"/>
      <c r="B2667" s="63"/>
      <c r="C2667" s="63"/>
      <c r="D2667" s="63"/>
      <c r="E2667" s="326"/>
      <c r="F2667" s="63"/>
    </row>
    <row r="2668" spans="1:6" ht="20.399999999999999">
      <c r="A2668" s="323"/>
      <c r="B2668" s="63"/>
      <c r="C2668" s="63"/>
      <c r="D2668" s="63"/>
      <c r="E2668" s="326"/>
      <c r="F2668" s="63"/>
    </row>
    <row r="2669" spans="1:6" ht="20.399999999999999">
      <c r="A2669" s="323"/>
      <c r="B2669" s="63"/>
      <c r="C2669" s="63"/>
      <c r="D2669" s="63"/>
      <c r="E2669" s="326"/>
      <c r="F2669" s="63"/>
    </row>
    <row r="2670" spans="1:6" ht="20.399999999999999">
      <c r="A2670" s="323"/>
      <c r="B2670" s="63"/>
      <c r="C2670" s="63"/>
      <c r="D2670" s="63"/>
      <c r="E2670" s="326"/>
      <c r="F2670" s="63"/>
    </row>
    <row r="2671" spans="1:6" ht="20.399999999999999">
      <c r="A2671" s="323"/>
      <c r="B2671" s="63"/>
      <c r="C2671" s="63"/>
      <c r="D2671" s="63"/>
      <c r="E2671" s="326"/>
      <c r="F2671" s="63"/>
    </row>
    <row r="2672" spans="1:6" ht="20.399999999999999">
      <c r="A2672" s="323"/>
      <c r="B2672" s="63"/>
      <c r="C2672" s="63"/>
      <c r="D2672" s="63"/>
      <c r="E2672" s="326"/>
      <c r="F2672" s="63"/>
    </row>
    <row r="2673" spans="1:6" ht="20.399999999999999">
      <c r="A2673" s="323"/>
      <c r="B2673" s="63"/>
      <c r="C2673" s="63"/>
      <c r="D2673" s="63"/>
      <c r="E2673" s="326"/>
      <c r="F2673" s="63"/>
    </row>
    <row r="2674" spans="1:6" ht="20.399999999999999">
      <c r="A2674" s="323"/>
      <c r="B2674" s="63"/>
      <c r="C2674" s="63"/>
      <c r="D2674" s="63"/>
      <c r="E2674" s="326"/>
      <c r="F2674" s="63"/>
    </row>
    <row r="2675" spans="1:6" ht="20.399999999999999">
      <c r="A2675" s="323"/>
      <c r="B2675" s="63"/>
      <c r="C2675" s="63"/>
      <c r="D2675" s="63"/>
      <c r="E2675" s="326"/>
      <c r="F2675" s="63"/>
    </row>
    <row r="2676" spans="1:6" ht="20.399999999999999">
      <c r="A2676" s="323"/>
      <c r="B2676" s="63"/>
      <c r="C2676" s="63"/>
      <c r="D2676" s="63"/>
      <c r="E2676" s="326"/>
      <c r="F2676" s="63"/>
    </row>
    <row r="2677" spans="1:6" ht="20.399999999999999">
      <c r="A2677" s="323"/>
      <c r="B2677" s="63"/>
      <c r="C2677" s="63"/>
      <c r="D2677" s="63"/>
      <c r="E2677" s="326"/>
      <c r="F2677" s="63"/>
    </row>
    <row r="2678" spans="1:6" ht="20.399999999999999">
      <c r="A2678" s="323"/>
      <c r="B2678" s="63"/>
      <c r="C2678" s="63"/>
      <c r="D2678" s="63"/>
      <c r="E2678" s="326"/>
      <c r="F2678" s="63"/>
    </row>
    <row r="2679" spans="1:6" ht="20.399999999999999">
      <c r="A2679" s="323"/>
      <c r="B2679" s="63"/>
      <c r="C2679" s="63"/>
      <c r="D2679" s="63"/>
      <c r="E2679" s="326"/>
      <c r="F2679" s="63"/>
    </row>
    <row r="2680" spans="1:6" ht="20.399999999999999">
      <c r="A2680" s="323"/>
      <c r="B2680" s="63"/>
      <c r="C2680" s="63"/>
      <c r="D2680" s="63"/>
      <c r="E2680" s="326"/>
      <c r="F2680" s="63"/>
    </row>
    <row r="2681" spans="1:6" ht="20.399999999999999">
      <c r="A2681" s="323"/>
      <c r="B2681" s="63"/>
      <c r="C2681" s="63"/>
      <c r="D2681" s="63"/>
      <c r="E2681" s="326"/>
      <c r="F2681" s="63"/>
    </row>
    <row r="2682" spans="1:6" ht="20.399999999999999">
      <c r="A2682" s="323"/>
      <c r="B2682" s="63"/>
      <c r="C2682" s="63"/>
      <c r="D2682" s="63"/>
      <c r="E2682" s="326"/>
      <c r="F2682" s="63"/>
    </row>
    <row r="2683" spans="1:6" ht="20.399999999999999">
      <c r="A2683" s="323"/>
      <c r="B2683" s="63"/>
      <c r="C2683" s="63"/>
      <c r="D2683" s="63"/>
      <c r="E2683" s="326"/>
      <c r="F2683" s="63"/>
    </row>
    <row r="2684" spans="1:6" ht="20.399999999999999">
      <c r="A2684" s="323"/>
      <c r="B2684" s="63"/>
      <c r="C2684" s="63"/>
      <c r="D2684" s="63"/>
      <c r="E2684" s="326"/>
      <c r="F2684" s="63"/>
    </row>
    <row r="2685" spans="1:6" ht="20.399999999999999">
      <c r="A2685" s="323"/>
      <c r="B2685" s="63"/>
      <c r="C2685" s="63"/>
      <c r="D2685" s="63"/>
      <c r="E2685" s="326"/>
      <c r="F2685" s="63"/>
    </row>
    <row r="2686" spans="1:6" ht="20.399999999999999">
      <c r="A2686" s="323"/>
      <c r="B2686" s="63"/>
      <c r="C2686" s="63"/>
      <c r="D2686" s="63"/>
      <c r="E2686" s="326"/>
      <c r="F2686" s="63"/>
    </row>
    <row r="2687" spans="1:6" ht="20.399999999999999">
      <c r="A2687" s="323"/>
      <c r="B2687" s="63"/>
      <c r="C2687" s="63"/>
      <c r="D2687" s="63"/>
      <c r="E2687" s="326"/>
      <c r="F2687" s="63"/>
    </row>
    <row r="2688" spans="1:6" ht="20.399999999999999">
      <c r="A2688" s="323"/>
      <c r="B2688" s="63"/>
      <c r="C2688" s="63"/>
      <c r="D2688" s="63"/>
      <c r="E2688" s="326"/>
      <c r="F2688" s="63"/>
    </row>
    <row r="2689" spans="1:6" ht="20.399999999999999">
      <c r="A2689" s="323"/>
      <c r="B2689" s="63"/>
      <c r="C2689" s="63"/>
      <c r="D2689" s="63"/>
      <c r="E2689" s="326"/>
      <c r="F2689" s="63"/>
    </row>
    <row r="2690" spans="1:6" ht="20.399999999999999">
      <c r="A2690" s="323"/>
      <c r="B2690" s="63"/>
      <c r="C2690" s="63"/>
      <c r="D2690" s="63"/>
      <c r="E2690" s="326"/>
      <c r="F2690" s="63"/>
    </row>
    <row r="2691" spans="1:6" ht="20.399999999999999">
      <c r="A2691" s="323"/>
      <c r="B2691" s="63"/>
      <c r="C2691" s="63"/>
      <c r="D2691" s="63"/>
      <c r="E2691" s="326"/>
      <c r="F2691" s="63"/>
    </row>
    <row r="2692" spans="1:6" ht="20.399999999999999">
      <c r="A2692" s="323"/>
      <c r="B2692" s="63"/>
      <c r="C2692" s="63"/>
      <c r="D2692" s="63"/>
      <c r="E2692" s="326"/>
      <c r="F2692" s="63"/>
    </row>
    <row r="2693" spans="1:6" ht="20.399999999999999">
      <c r="A2693" s="323"/>
      <c r="B2693" s="63"/>
      <c r="C2693" s="63"/>
      <c r="D2693" s="63"/>
      <c r="E2693" s="326"/>
      <c r="F2693" s="63"/>
    </row>
    <row r="2694" spans="1:6" ht="20.399999999999999">
      <c r="A2694" s="323"/>
      <c r="B2694" s="63"/>
      <c r="C2694" s="63"/>
      <c r="D2694" s="63"/>
      <c r="E2694" s="326"/>
      <c r="F2694" s="63"/>
    </row>
    <row r="2695" spans="1:6" ht="20.399999999999999">
      <c r="A2695" s="323"/>
      <c r="B2695" s="63"/>
      <c r="C2695" s="63"/>
      <c r="D2695" s="63"/>
      <c r="E2695" s="326"/>
      <c r="F2695" s="63"/>
    </row>
    <row r="2696" spans="1:6" ht="20.399999999999999">
      <c r="A2696" s="323"/>
      <c r="B2696" s="63"/>
      <c r="C2696" s="63"/>
      <c r="D2696" s="63"/>
      <c r="E2696" s="326"/>
      <c r="F2696" s="63"/>
    </row>
    <row r="2697" spans="1:6" ht="20.399999999999999">
      <c r="A2697" s="323"/>
      <c r="B2697" s="63"/>
      <c r="C2697" s="63"/>
      <c r="D2697" s="63"/>
      <c r="E2697" s="326"/>
      <c r="F2697" s="63"/>
    </row>
    <row r="2698" spans="1:6" ht="20.399999999999999">
      <c r="A2698" s="323"/>
      <c r="B2698" s="63"/>
      <c r="C2698" s="63"/>
      <c r="D2698" s="63"/>
      <c r="E2698" s="326"/>
      <c r="F2698" s="63"/>
    </row>
    <row r="2699" spans="1:6" ht="20.399999999999999">
      <c r="A2699" s="323"/>
      <c r="B2699" s="63"/>
      <c r="C2699" s="63"/>
      <c r="D2699" s="63"/>
      <c r="E2699" s="326"/>
      <c r="F2699" s="63"/>
    </row>
    <row r="2700" spans="1:6" ht="20.399999999999999">
      <c r="A2700" s="323"/>
      <c r="B2700" s="63"/>
      <c r="C2700" s="63"/>
      <c r="D2700" s="63"/>
      <c r="E2700" s="326"/>
      <c r="F2700" s="63"/>
    </row>
    <row r="2701" spans="1:6" ht="20.399999999999999">
      <c r="A2701" s="323"/>
      <c r="B2701" s="63"/>
      <c r="C2701" s="63"/>
      <c r="D2701" s="63"/>
      <c r="E2701" s="326"/>
      <c r="F2701" s="63"/>
    </row>
    <row r="2702" spans="1:6" ht="20.399999999999999">
      <c r="A2702" s="323"/>
      <c r="B2702" s="63"/>
      <c r="C2702" s="63"/>
      <c r="D2702" s="63"/>
      <c r="E2702" s="326"/>
      <c r="F2702" s="63"/>
    </row>
    <row r="2703" spans="1:6" ht="20.399999999999999">
      <c r="A2703" s="323"/>
      <c r="B2703" s="63"/>
      <c r="C2703" s="63"/>
      <c r="D2703" s="63"/>
      <c r="E2703" s="326"/>
      <c r="F2703" s="63"/>
    </row>
    <row r="2704" spans="1:6" ht="20.399999999999999">
      <c r="A2704" s="323"/>
      <c r="B2704" s="63"/>
      <c r="C2704" s="63"/>
      <c r="D2704" s="63"/>
      <c r="E2704" s="326"/>
      <c r="F2704" s="63"/>
    </row>
    <row r="2705" spans="1:6" ht="20.399999999999999">
      <c r="A2705" s="323"/>
      <c r="B2705" s="63"/>
      <c r="C2705" s="63"/>
      <c r="D2705" s="63"/>
      <c r="E2705" s="326"/>
      <c r="F2705" s="63"/>
    </row>
    <row r="2706" spans="1:6" ht="20.399999999999999">
      <c r="A2706" s="323"/>
      <c r="B2706" s="63"/>
      <c r="C2706" s="63"/>
      <c r="D2706" s="63"/>
      <c r="E2706" s="326"/>
      <c r="F2706" s="63"/>
    </row>
    <row r="2707" spans="1:6" ht="20.399999999999999">
      <c r="A2707" s="323"/>
      <c r="B2707" s="63"/>
      <c r="C2707" s="63"/>
      <c r="D2707" s="63"/>
      <c r="E2707" s="326"/>
      <c r="F2707" s="63"/>
    </row>
    <row r="2708" spans="1:6" ht="20.399999999999999">
      <c r="A2708" s="323"/>
      <c r="B2708" s="63"/>
      <c r="C2708" s="63"/>
      <c r="D2708" s="63"/>
      <c r="E2708" s="326"/>
      <c r="F2708" s="63"/>
    </row>
    <row r="2709" spans="1:6" ht="20.399999999999999">
      <c r="A2709" s="323"/>
      <c r="B2709" s="63"/>
      <c r="C2709" s="63"/>
      <c r="D2709" s="63"/>
      <c r="E2709" s="326"/>
      <c r="F2709" s="63"/>
    </row>
    <row r="2710" spans="1:6" ht="20.399999999999999">
      <c r="A2710" s="323"/>
      <c r="B2710" s="63"/>
      <c r="C2710" s="63"/>
      <c r="D2710" s="63"/>
      <c r="E2710" s="326"/>
      <c r="F2710" s="63"/>
    </row>
    <row r="2711" spans="1:6" ht="20.399999999999999">
      <c r="A2711" s="323"/>
      <c r="B2711" s="63"/>
      <c r="C2711" s="63"/>
      <c r="D2711" s="63"/>
      <c r="E2711" s="326"/>
      <c r="F2711" s="63"/>
    </row>
    <row r="2712" spans="1:6" ht="20.399999999999999">
      <c r="A2712" s="323"/>
      <c r="B2712" s="63"/>
      <c r="C2712" s="63"/>
      <c r="D2712" s="63"/>
      <c r="E2712" s="326"/>
      <c r="F2712" s="63"/>
    </row>
    <row r="2713" spans="1:6" ht="20.399999999999999">
      <c r="A2713" s="323"/>
      <c r="B2713" s="63"/>
      <c r="C2713" s="63"/>
      <c r="D2713" s="63"/>
      <c r="E2713" s="326"/>
      <c r="F2713" s="63"/>
    </row>
    <row r="2714" spans="1:6" ht="20.399999999999999">
      <c r="A2714" s="323"/>
      <c r="B2714" s="63"/>
      <c r="C2714" s="63"/>
      <c r="D2714" s="63"/>
      <c r="E2714" s="326"/>
      <c r="F2714" s="63"/>
    </row>
    <row r="2715" spans="1:6" ht="20.399999999999999">
      <c r="A2715" s="323"/>
      <c r="B2715" s="63"/>
      <c r="C2715" s="63"/>
      <c r="D2715" s="63"/>
      <c r="E2715" s="326"/>
      <c r="F2715" s="63"/>
    </row>
    <row r="2716" spans="1:6" ht="20.399999999999999">
      <c r="A2716" s="323"/>
      <c r="B2716" s="63"/>
      <c r="C2716" s="63"/>
      <c r="D2716" s="63"/>
      <c r="E2716" s="326"/>
      <c r="F2716" s="63"/>
    </row>
    <row r="2717" spans="1:6" ht="20.399999999999999">
      <c r="A2717" s="323"/>
      <c r="B2717" s="63"/>
      <c r="C2717" s="63"/>
      <c r="D2717" s="63"/>
      <c r="E2717" s="326"/>
      <c r="F2717" s="63"/>
    </row>
    <row r="2718" spans="1:6" ht="20.399999999999999">
      <c r="A2718" s="323"/>
      <c r="B2718" s="63"/>
      <c r="C2718" s="63"/>
      <c r="D2718" s="63"/>
      <c r="E2718" s="326"/>
      <c r="F2718" s="63"/>
    </row>
    <row r="2719" spans="1:6" ht="20.399999999999999">
      <c r="A2719" s="323"/>
      <c r="B2719" s="63"/>
      <c r="C2719" s="63"/>
      <c r="D2719" s="63"/>
      <c r="E2719" s="326"/>
      <c r="F2719" s="63"/>
    </row>
    <row r="2720" spans="1:6" ht="20.399999999999999">
      <c r="A2720" s="323"/>
      <c r="B2720" s="63"/>
      <c r="C2720" s="63"/>
      <c r="D2720" s="63"/>
      <c r="E2720" s="326"/>
      <c r="F2720" s="63"/>
    </row>
    <row r="2721" spans="1:6" ht="20.399999999999999">
      <c r="A2721" s="323"/>
      <c r="B2721" s="63"/>
      <c r="C2721" s="63"/>
      <c r="D2721" s="63"/>
      <c r="E2721" s="326"/>
      <c r="F2721" s="63"/>
    </row>
    <row r="2722" spans="1:6" ht="20.399999999999999">
      <c r="A2722" s="323"/>
      <c r="B2722" s="63"/>
      <c r="C2722" s="63"/>
      <c r="D2722" s="63"/>
      <c r="E2722" s="326"/>
      <c r="F2722" s="63"/>
    </row>
    <row r="2723" spans="1:6" ht="20.399999999999999">
      <c r="A2723" s="323"/>
      <c r="B2723" s="63"/>
      <c r="C2723" s="63"/>
      <c r="D2723" s="63"/>
      <c r="E2723" s="326"/>
      <c r="F2723" s="63"/>
    </row>
    <row r="2724" spans="1:6" ht="20.399999999999999">
      <c r="A2724" s="323"/>
      <c r="B2724" s="63"/>
      <c r="C2724" s="63"/>
      <c r="D2724" s="63"/>
      <c r="E2724" s="326"/>
      <c r="F2724" s="63"/>
    </row>
    <row r="2725" spans="1:6" ht="20.399999999999999">
      <c r="A2725" s="323"/>
      <c r="B2725" s="63"/>
      <c r="C2725" s="63"/>
      <c r="D2725" s="63"/>
      <c r="E2725" s="326"/>
      <c r="F2725" s="63"/>
    </row>
    <row r="2726" spans="1:6" ht="20.399999999999999">
      <c r="A2726" s="323"/>
      <c r="B2726" s="63"/>
      <c r="C2726" s="63"/>
      <c r="D2726" s="63"/>
      <c r="E2726" s="326"/>
      <c r="F2726" s="63"/>
    </row>
    <row r="2727" spans="1:6" ht="20.399999999999999">
      <c r="A2727" s="323"/>
      <c r="B2727" s="63"/>
      <c r="C2727" s="63"/>
      <c r="D2727" s="63"/>
      <c r="E2727" s="326"/>
      <c r="F2727" s="63"/>
    </row>
    <row r="2728" spans="1:6" ht="20.399999999999999">
      <c r="A2728" s="323"/>
      <c r="B2728" s="63"/>
      <c r="C2728" s="63"/>
      <c r="D2728" s="63"/>
      <c r="E2728" s="326"/>
      <c r="F2728" s="63"/>
    </row>
    <row r="2729" spans="1:6" ht="20.399999999999999">
      <c r="A2729" s="323"/>
      <c r="B2729" s="63"/>
      <c r="C2729" s="63"/>
      <c r="D2729" s="63"/>
      <c r="E2729" s="326"/>
      <c r="F2729" s="63"/>
    </row>
    <row r="2730" spans="1:6" ht="20.399999999999999">
      <c r="A2730" s="323"/>
      <c r="B2730" s="63"/>
      <c r="C2730" s="63"/>
      <c r="D2730" s="63"/>
      <c r="E2730" s="326"/>
      <c r="F2730" s="63"/>
    </row>
    <row r="2731" spans="1:6" ht="20.399999999999999">
      <c r="A2731" s="323"/>
      <c r="B2731" s="63"/>
      <c r="C2731" s="63"/>
      <c r="D2731" s="63"/>
      <c r="E2731" s="326"/>
      <c r="F2731" s="63"/>
    </row>
    <row r="2732" spans="1:6" ht="20.399999999999999">
      <c r="A2732" s="323"/>
      <c r="B2732" s="63"/>
      <c r="C2732" s="63"/>
      <c r="D2732" s="63"/>
      <c r="E2732" s="326"/>
      <c r="F2732" s="63"/>
    </row>
    <row r="2733" spans="1:6" ht="20.399999999999999">
      <c r="A2733" s="323"/>
      <c r="B2733" s="63"/>
      <c r="C2733" s="63"/>
      <c r="D2733" s="63"/>
      <c r="E2733" s="326"/>
      <c r="F2733" s="63"/>
    </row>
    <row r="2734" spans="1:6" ht="20.399999999999999">
      <c r="A2734" s="323"/>
      <c r="B2734" s="63"/>
      <c r="C2734" s="63"/>
      <c r="D2734" s="63"/>
      <c r="E2734" s="326"/>
      <c r="F2734" s="63"/>
    </row>
    <row r="2735" spans="1:6" ht="20.399999999999999">
      <c r="A2735" s="323"/>
      <c r="B2735" s="63"/>
      <c r="C2735" s="63"/>
      <c r="D2735" s="63"/>
      <c r="E2735" s="326"/>
      <c r="F2735" s="63"/>
    </row>
    <row r="2736" spans="1:6" ht="20.399999999999999">
      <c r="A2736" s="323"/>
      <c r="B2736" s="63"/>
      <c r="C2736" s="63"/>
      <c r="D2736" s="63"/>
      <c r="E2736" s="326"/>
      <c r="F2736" s="63"/>
    </row>
    <row r="2737" spans="1:6" ht="20.399999999999999">
      <c r="A2737" s="323"/>
      <c r="B2737" s="63"/>
      <c r="C2737" s="63"/>
      <c r="D2737" s="63"/>
      <c r="E2737" s="326"/>
      <c r="F2737" s="63"/>
    </row>
    <row r="2738" spans="1:6" ht="20.399999999999999">
      <c r="A2738" s="323"/>
      <c r="B2738" s="63"/>
      <c r="C2738" s="63"/>
      <c r="D2738" s="63"/>
      <c r="E2738" s="326"/>
      <c r="F2738" s="63"/>
    </row>
    <row r="2739" spans="1:6" ht="20.399999999999999">
      <c r="A2739" s="323"/>
      <c r="B2739" s="63"/>
      <c r="C2739" s="63"/>
      <c r="D2739" s="63"/>
      <c r="E2739" s="326"/>
      <c r="F2739" s="63"/>
    </row>
    <row r="2740" spans="1:6" ht="20.399999999999999">
      <c r="A2740" s="323"/>
      <c r="B2740" s="63"/>
      <c r="C2740" s="63"/>
      <c r="D2740" s="63"/>
      <c r="E2740" s="326"/>
      <c r="F2740" s="63"/>
    </row>
    <row r="2741" spans="1:6" ht="20.399999999999999">
      <c r="A2741" s="323"/>
      <c r="B2741" s="63"/>
      <c r="C2741" s="63"/>
      <c r="D2741" s="63"/>
      <c r="E2741" s="326"/>
      <c r="F2741" s="63"/>
    </row>
    <row r="2742" spans="1:6" ht="20.399999999999999">
      <c r="A2742" s="323"/>
      <c r="B2742" s="63"/>
      <c r="C2742" s="63"/>
      <c r="D2742" s="63"/>
      <c r="E2742" s="326"/>
      <c r="F2742" s="63"/>
    </row>
    <row r="2743" spans="1:6" ht="20.399999999999999">
      <c r="A2743" s="323"/>
      <c r="B2743" s="63"/>
      <c r="C2743" s="63"/>
      <c r="D2743" s="63"/>
      <c r="E2743" s="326"/>
      <c r="F2743" s="63"/>
    </row>
    <row r="2744" spans="1:6" ht="20.399999999999999">
      <c r="A2744" s="323"/>
      <c r="B2744" s="63"/>
      <c r="C2744" s="63"/>
      <c r="D2744" s="63"/>
      <c r="E2744" s="326"/>
      <c r="F2744" s="63"/>
    </row>
    <row r="2745" spans="1:6" ht="20.399999999999999">
      <c r="A2745" s="323"/>
      <c r="B2745" s="63"/>
      <c r="C2745" s="63"/>
      <c r="D2745" s="63"/>
      <c r="E2745" s="326"/>
      <c r="F2745" s="63"/>
    </row>
    <row r="2746" spans="1:6" ht="20.399999999999999">
      <c r="A2746" s="323"/>
      <c r="B2746" s="63"/>
      <c r="C2746" s="63"/>
      <c r="D2746" s="63"/>
      <c r="E2746" s="326"/>
      <c r="F2746" s="63"/>
    </row>
    <row r="2747" spans="1:6" ht="20.399999999999999">
      <c r="A2747" s="323"/>
      <c r="B2747" s="63"/>
      <c r="C2747" s="63"/>
      <c r="D2747" s="63"/>
      <c r="E2747" s="326"/>
      <c r="F2747" s="63"/>
    </row>
    <row r="2748" spans="1:6" ht="20.399999999999999">
      <c r="A2748" s="323"/>
      <c r="B2748" s="63"/>
      <c r="C2748" s="63"/>
      <c r="D2748" s="63"/>
      <c r="E2748" s="326"/>
      <c r="F2748" s="63"/>
    </row>
    <row r="2749" spans="1:6" ht="20.399999999999999">
      <c r="A2749" s="323"/>
      <c r="B2749" s="63"/>
      <c r="C2749" s="63"/>
      <c r="D2749" s="63"/>
      <c r="E2749" s="326"/>
      <c r="F2749" s="63"/>
    </row>
    <row r="2750" spans="1:6" ht="20.399999999999999">
      <c r="A2750" s="323"/>
      <c r="B2750" s="63"/>
      <c r="C2750" s="63"/>
      <c r="D2750" s="63"/>
      <c r="E2750" s="326"/>
      <c r="F2750" s="63"/>
    </row>
    <row r="2751" spans="1:6" ht="20.399999999999999">
      <c r="A2751" s="323"/>
      <c r="B2751" s="63"/>
      <c r="C2751" s="63"/>
      <c r="D2751" s="63"/>
      <c r="E2751" s="326"/>
      <c r="F2751" s="63"/>
    </row>
    <row r="2752" spans="1:6" ht="20.399999999999999">
      <c r="A2752" s="323"/>
      <c r="B2752" s="63"/>
      <c r="C2752" s="63"/>
      <c r="D2752" s="63"/>
      <c r="E2752" s="326"/>
      <c r="F2752" s="63"/>
    </row>
    <row r="2753" spans="1:6" ht="20.399999999999999">
      <c r="A2753" s="323"/>
      <c r="B2753" s="63"/>
      <c r="C2753" s="63"/>
      <c r="D2753" s="63"/>
      <c r="E2753" s="326"/>
      <c r="F2753" s="63"/>
    </row>
    <row r="2754" spans="1:6" ht="20.399999999999999">
      <c r="A2754" s="323"/>
      <c r="B2754" s="63"/>
      <c r="C2754" s="63"/>
      <c r="D2754" s="63"/>
      <c r="E2754" s="326"/>
      <c r="F2754" s="63"/>
    </row>
    <row r="2755" spans="1:6" ht="20.399999999999999">
      <c r="A2755" s="323"/>
      <c r="B2755" s="63"/>
      <c r="C2755" s="63"/>
      <c r="D2755" s="63"/>
      <c r="E2755" s="326"/>
      <c r="F2755" s="63"/>
    </row>
    <row r="2756" spans="1:6" ht="20.399999999999999">
      <c r="A2756" s="323"/>
      <c r="B2756" s="63"/>
      <c r="C2756" s="63"/>
      <c r="D2756" s="63"/>
      <c r="E2756" s="326"/>
      <c r="F2756" s="63"/>
    </row>
    <row r="2757" spans="1:6" ht="20.399999999999999">
      <c r="A2757" s="323"/>
      <c r="B2757" s="63"/>
      <c r="C2757" s="63"/>
      <c r="D2757" s="63"/>
      <c r="E2757" s="326"/>
      <c r="F2757" s="63"/>
    </row>
    <row r="2758" spans="1:6" ht="20.399999999999999">
      <c r="A2758" s="323"/>
      <c r="B2758" s="63"/>
      <c r="C2758" s="63"/>
      <c r="D2758" s="63"/>
      <c r="E2758" s="326"/>
      <c r="F2758" s="63"/>
    </row>
    <row r="2759" spans="1:6" ht="20.399999999999999">
      <c r="A2759" s="323"/>
      <c r="B2759" s="63"/>
      <c r="C2759" s="63"/>
      <c r="D2759" s="63"/>
      <c r="E2759" s="326"/>
      <c r="F2759" s="63"/>
    </row>
    <row r="2760" spans="1:6" ht="20.399999999999999">
      <c r="A2760" s="323"/>
      <c r="B2760" s="63"/>
      <c r="C2760" s="63"/>
      <c r="D2760" s="63"/>
      <c r="E2760" s="326"/>
      <c r="F2760" s="63"/>
    </row>
    <row r="2761" spans="1:6" ht="20.399999999999999">
      <c r="A2761" s="323"/>
      <c r="B2761" s="63"/>
      <c r="C2761" s="63"/>
      <c r="D2761" s="63"/>
      <c r="E2761" s="326"/>
      <c r="F2761" s="63"/>
    </row>
    <row r="2762" spans="1:6" ht="20.399999999999999">
      <c r="A2762" s="323"/>
      <c r="B2762" s="63"/>
      <c r="C2762" s="63"/>
      <c r="D2762" s="63"/>
      <c r="E2762" s="326"/>
      <c r="F2762" s="63"/>
    </row>
    <row r="2763" spans="1:6" ht="20.399999999999999">
      <c r="A2763" s="323"/>
      <c r="B2763" s="63"/>
      <c r="C2763" s="63"/>
      <c r="D2763" s="63"/>
      <c r="E2763" s="326"/>
      <c r="F2763" s="63"/>
    </row>
    <row r="2764" spans="1:6" ht="20.399999999999999">
      <c r="A2764" s="323"/>
      <c r="B2764" s="63"/>
      <c r="C2764" s="63"/>
      <c r="D2764" s="63"/>
      <c r="E2764" s="326"/>
      <c r="F2764" s="63"/>
    </row>
    <row r="2765" spans="1:6" ht="20.399999999999999">
      <c r="A2765" s="323"/>
      <c r="B2765" s="63"/>
      <c r="C2765" s="63"/>
      <c r="D2765" s="63"/>
      <c r="E2765" s="326"/>
      <c r="F2765" s="63"/>
    </row>
    <row r="2766" spans="1:6" ht="20.399999999999999">
      <c r="A2766" s="323"/>
      <c r="B2766" s="63"/>
      <c r="C2766" s="63"/>
      <c r="D2766" s="63"/>
      <c r="E2766" s="326"/>
      <c r="F2766" s="63"/>
    </row>
    <row r="2767" spans="1:6" ht="20.399999999999999">
      <c r="A2767" s="323"/>
      <c r="B2767" s="63"/>
      <c r="C2767" s="63"/>
      <c r="D2767" s="63"/>
      <c r="E2767" s="326"/>
      <c r="F2767" s="63"/>
    </row>
    <row r="2768" spans="1:6" ht="20.399999999999999">
      <c r="A2768" s="323"/>
      <c r="B2768" s="63"/>
      <c r="C2768" s="63"/>
      <c r="D2768" s="63"/>
      <c r="E2768" s="326"/>
      <c r="F2768" s="63"/>
    </row>
    <row r="2769" spans="1:6" ht="20.399999999999999">
      <c r="A2769" s="323"/>
      <c r="B2769" s="63"/>
      <c r="C2769" s="63"/>
      <c r="D2769" s="63"/>
      <c r="E2769" s="326"/>
      <c r="F2769" s="63"/>
    </row>
    <row r="2770" spans="1:6" ht="20.399999999999999">
      <c r="A2770" s="323"/>
      <c r="B2770" s="63"/>
      <c r="C2770" s="63"/>
      <c r="D2770" s="63"/>
      <c r="E2770" s="326"/>
      <c r="F2770" s="63"/>
    </row>
    <row r="2771" spans="1:6" ht="20.399999999999999">
      <c r="A2771" s="323"/>
      <c r="B2771" s="63"/>
      <c r="C2771" s="63"/>
      <c r="D2771" s="63"/>
      <c r="E2771" s="326"/>
      <c r="F2771" s="63"/>
    </row>
    <row r="2772" spans="1:6" ht="20.399999999999999">
      <c r="A2772" s="323"/>
      <c r="B2772" s="63"/>
      <c r="C2772" s="63"/>
      <c r="D2772" s="63"/>
      <c r="E2772" s="326"/>
      <c r="F2772" s="63"/>
    </row>
    <row r="2773" spans="1:6" ht="20.399999999999999">
      <c r="A2773" s="323"/>
      <c r="B2773" s="63"/>
      <c r="C2773" s="63"/>
      <c r="D2773" s="63"/>
      <c r="E2773" s="326"/>
      <c r="F2773" s="63"/>
    </row>
    <row r="2774" spans="1:6" ht="20.399999999999999">
      <c r="A2774" s="323"/>
      <c r="B2774" s="63"/>
      <c r="C2774" s="63"/>
      <c r="D2774" s="63"/>
      <c r="E2774" s="326"/>
      <c r="F2774" s="63"/>
    </row>
    <row r="2775" spans="1:6" ht="20.399999999999999">
      <c r="A2775" s="323"/>
      <c r="B2775" s="63"/>
      <c r="C2775" s="63"/>
      <c r="D2775" s="63"/>
      <c r="E2775" s="326"/>
      <c r="F2775" s="63"/>
    </row>
    <row r="2776" spans="1:6" ht="20.399999999999999">
      <c r="A2776" s="323"/>
      <c r="B2776" s="63"/>
      <c r="C2776" s="63"/>
      <c r="D2776" s="63"/>
      <c r="E2776" s="326"/>
      <c r="F2776" s="63"/>
    </row>
    <row r="2777" spans="1:6" ht="20.399999999999999">
      <c r="A2777" s="323"/>
      <c r="B2777" s="63"/>
      <c r="C2777" s="63"/>
      <c r="D2777" s="63"/>
      <c r="E2777" s="326"/>
      <c r="F2777" s="63"/>
    </row>
    <row r="2778" spans="1:6" ht="20.399999999999999">
      <c r="A2778" s="323"/>
      <c r="B2778" s="63"/>
      <c r="C2778" s="63"/>
      <c r="D2778" s="63"/>
      <c r="E2778" s="326"/>
      <c r="F2778" s="63"/>
    </row>
    <row r="2779" spans="1:6" ht="20.399999999999999">
      <c r="A2779" s="323"/>
      <c r="B2779" s="63"/>
      <c r="C2779" s="63"/>
      <c r="D2779" s="63"/>
      <c r="E2779" s="326"/>
      <c r="F2779" s="63"/>
    </row>
    <row r="2780" spans="1:6" ht="20.399999999999999">
      <c r="A2780" s="323"/>
      <c r="B2780" s="63"/>
      <c r="C2780" s="63"/>
      <c r="D2780" s="63"/>
      <c r="E2780" s="326"/>
      <c r="F2780" s="63"/>
    </row>
    <row r="2781" spans="1:6" ht="20.399999999999999">
      <c r="A2781" s="323"/>
      <c r="B2781" s="63"/>
      <c r="C2781" s="63"/>
      <c r="D2781" s="63"/>
      <c r="E2781" s="326"/>
      <c r="F2781" s="63"/>
    </row>
    <row r="2782" spans="1:6" ht="20.399999999999999">
      <c r="A2782" s="323"/>
      <c r="B2782" s="63"/>
      <c r="C2782" s="63"/>
      <c r="D2782" s="63"/>
      <c r="E2782" s="326"/>
      <c r="F2782" s="63"/>
    </row>
    <row r="2783" spans="1:6" ht="20.399999999999999">
      <c r="A2783" s="323"/>
      <c r="B2783" s="63"/>
      <c r="C2783" s="63"/>
      <c r="D2783" s="63"/>
      <c r="E2783" s="326"/>
      <c r="F2783" s="63"/>
    </row>
    <row r="2784" spans="1:6" ht="20.399999999999999">
      <c r="A2784" s="323"/>
      <c r="B2784" s="63"/>
      <c r="C2784" s="63"/>
      <c r="D2784" s="63"/>
      <c r="E2784" s="326"/>
      <c r="F2784" s="63"/>
    </row>
    <row r="2785" spans="1:6" ht="20.399999999999999">
      <c r="A2785" s="323"/>
      <c r="B2785" s="63"/>
      <c r="C2785" s="63"/>
      <c r="D2785" s="63"/>
      <c r="E2785" s="326"/>
      <c r="F2785" s="63"/>
    </row>
    <row r="2786" spans="1:6" ht="20.399999999999999">
      <c r="A2786" s="323"/>
      <c r="B2786" s="63"/>
      <c r="C2786" s="63"/>
      <c r="D2786" s="63"/>
      <c r="E2786" s="326"/>
      <c r="F2786" s="63"/>
    </row>
    <row r="2787" spans="1:6" ht="20.399999999999999">
      <c r="A2787" s="323"/>
      <c r="B2787" s="63"/>
      <c r="C2787" s="63"/>
      <c r="D2787" s="63"/>
      <c r="E2787" s="326"/>
      <c r="F2787" s="63"/>
    </row>
    <row r="2788" spans="1:6" ht="20.399999999999999">
      <c r="A2788" s="323"/>
      <c r="B2788" s="63"/>
      <c r="C2788" s="63"/>
      <c r="D2788" s="63"/>
      <c r="E2788" s="326"/>
      <c r="F2788" s="63"/>
    </row>
    <row r="2789" spans="1:6" ht="20.399999999999999">
      <c r="A2789" s="323"/>
      <c r="B2789" s="63"/>
      <c r="C2789" s="63"/>
      <c r="D2789" s="63"/>
      <c r="E2789" s="326"/>
      <c r="F2789" s="63"/>
    </row>
    <row r="2790" spans="1:6" ht="20.399999999999999">
      <c r="A2790" s="323"/>
      <c r="B2790" s="63"/>
      <c r="C2790" s="63"/>
      <c r="D2790" s="63"/>
      <c r="E2790" s="326"/>
      <c r="F2790" s="63"/>
    </row>
    <row r="2791" spans="1:6" ht="20.399999999999999">
      <c r="A2791" s="323"/>
      <c r="B2791" s="63"/>
      <c r="C2791" s="63"/>
      <c r="D2791" s="63"/>
      <c r="E2791" s="326"/>
      <c r="F2791" s="63"/>
    </row>
    <row r="2792" spans="1:6" ht="20.399999999999999">
      <c r="A2792" s="323"/>
      <c r="B2792" s="63"/>
      <c r="C2792" s="63"/>
      <c r="D2792" s="63"/>
      <c r="E2792" s="326"/>
      <c r="F2792" s="63"/>
    </row>
    <row r="2793" spans="1:6" ht="20.399999999999999">
      <c r="A2793" s="323"/>
      <c r="B2793" s="63"/>
      <c r="C2793" s="63"/>
      <c r="D2793" s="63"/>
      <c r="E2793" s="326"/>
      <c r="F2793" s="63"/>
    </row>
    <row r="2794" spans="1:6" ht="20.399999999999999">
      <c r="A2794" s="323"/>
      <c r="B2794" s="63"/>
      <c r="C2794" s="63"/>
      <c r="D2794" s="63"/>
      <c r="E2794" s="326"/>
      <c r="F2794" s="63"/>
    </row>
    <row r="2795" spans="1:6" ht="20.399999999999999">
      <c r="A2795" s="323"/>
      <c r="B2795" s="63"/>
      <c r="C2795" s="63"/>
      <c r="D2795" s="63"/>
      <c r="E2795" s="326"/>
      <c r="F2795" s="63"/>
    </row>
    <row r="2796" spans="1:6" ht="20.399999999999999">
      <c r="A2796" s="323"/>
      <c r="B2796" s="63"/>
      <c r="C2796" s="63"/>
      <c r="D2796" s="63"/>
      <c r="E2796" s="326"/>
      <c r="F2796" s="63"/>
    </row>
    <row r="2797" spans="1:6" ht="20.399999999999999">
      <c r="A2797" s="323"/>
      <c r="B2797" s="63"/>
      <c r="C2797" s="63"/>
      <c r="D2797" s="63"/>
      <c r="E2797" s="326"/>
      <c r="F2797" s="63"/>
    </row>
    <row r="2798" spans="1:6" ht="20.399999999999999">
      <c r="A2798" s="323"/>
      <c r="B2798" s="63"/>
      <c r="C2798" s="63"/>
      <c r="D2798" s="63"/>
      <c r="E2798" s="326"/>
      <c r="F2798" s="63"/>
    </row>
    <row r="2799" spans="1:6" ht="20.399999999999999">
      <c r="A2799" s="323"/>
      <c r="B2799" s="63"/>
      <c r="C2799" s="63"/>
      <c r="D2799" s="63"/>
      <c r="E2799" s="326"/>
      <c r="F2799" s="63"/>
    </row>
    <row r="2800" spans="1:6" ht="20.399999999999999">
      <c r="A2800" s="323"/>
      <c r="B2800" s="63"/>
      <c r="C2800" s="63"/>
      <c r="D2800" s="63"/>
      <c r="E2800" s="326"/>
      <c r="F2800" s="63"/>
    </row>
    <row r="2801" spans="1:6" ht="20.399999999999999">
      <c r="A2801" s="323"/>
      <c r="B2801" s="63"/>
      <c r="C2801" s="63"/>
      <c r="D2801" s="63"/>
      <c r="E2801" s="326"/>
      <c r="F2801" s="63"/>
    </row>
    <row r="2802" spans="1:6" ht="20.399999999999999">
      <c r="A2802" s="323"/>
      <c r="B2802" s="63"/>
      <c r="C2802" s="63"/>
      <c r="D2802" s="63"/>
      <c r="E2802" s="326"/>
      <c r="F2802" s="63"/>
    </row>
    <row r="2803" spans="1:6" ht="20.399999999999999">
      <c r="A2803" s="323"/>
      <c r="B2803" s="63"/>
      <c r="C2803" s="63"/>
      <c r="D2803" s="63"/>
      <c r="E2803" s="326"/>
      <c r="F2803" s="63"/>
    </row>
    <row r="2804" spans="1:6" ht="20.399999999999999">
      <c r="A2804" s="323"/>
      <c r="B2804" s="63"/>
      <c r="C2804" s="63"/>
      <c r="D2804" s="63"/>
      <c r="E2804" s="326"/>
      <c r="F2804" s="63"/>
    </row>
    <row r="2805" spans="1:6" ht="20.399999999999999">
      <c r="A2805" s="323"/>
      <c r="B2805" s="63"/>
      <c r="C2805" s="63"/>
      <c r="D2805" s="63"/>
      <c r="E2805" s="326"/>
      <c r="F2805" s="63"/>
    </row>
    <row r="2806" spans="1:6" ht="20.399999999999999">
      <c r="A2806" s="323"/>
      <c r="B2806" s="63"/>
      <c r="C2806" s="63"/>
      <c r="D2806" s="63"/>
      <c r="E2806" s="326"/>
      <c r="F2806" s="63"/>
    </row>
    <row r="2807" spans="1:6" ht="20.399999999999999">
      <c r="A2807" s="323"/>
      <c r="B2807" s="63"/>
      <c r="C2807" s="63"/>
      <c r="D2807" s="63"/>
      <c r="E2807" s="326"/>
      <c r="F2807" s="63"/>
    </row>
    <row r="2808" spans="1:6" ht="20.399999999999999">
      <c r="A2808" s="323"/>
      <c r="B2808" s="63"/>
      <c r="C2808" s="63"/>
      <c r="D2808" s="63"/>
      <c r="E2808" s="326"/>
      <c r="F2808" s="63"/>
    </row>
    <row r="2809" spans="1:6" ht="20.399999999999999">
      <c r="A2809" s="323"/>
      <c r="B2809" s="63"/>
      <c r="C2809" s="63"/>
      <c r="D2809" s="63"/>
      <c r="E2809" s="326"/>
      <c r="F2809" s="63"/>
    </row>
    <row r="2810" spans="1:6" ht="20.399999999999999">
      <c r="A2810" s="323"/>
      <c r="B2810" s="63"/>
      <c r="C2810" s="63"/>
      <c r="D2810" s="63"/>
      <c r="E2810" s="326"/>
      <c r="F2810" s="63"/>
    </row>
    <row r="2811" spans="1:6" ht="20.399999999999999">
      <c r="A2811" s="323"/>
      <c r="B2811" s="63"/>
      <c r="C2811" s="63"/>
      <c r="D2811" s="63"/>
      <c r="E2811" s="326"/>
      <c r="F2811" s="63"/>
    </row>
    <row r="2812" spans="1:6" ht="20.399999999999999">
      <c r="A2812" s="323"/>
      <c r="B2812" s="63"/>
      <c r="C2812" s="63"/>
      <c r="D2812" s="63"/>
      <c r="E2812" s="326"/>
      <c r="F2812" s="63"/>
    </row>
    <row r="2813" spans="1:6" ht="20.399999999999999">
      <c r="A2813" s="323"/>
      <c r="B2813" s="63"/>
      <c r="C2813" s="63"/>
      <c r="D2813" s="63"/>
      <c r="E2813" s="326"/>
      <c r="F2813" s="63"/>
    </row>
    <row r="2814" spans="1:6" ht="20.399999999999999">
      <c r="A2814" s="323"/>
      <c r="B2814" s="63"/>
      <c r="C2814" s="63"/>
      <c r="D2814" s="63"/>
      <c r="E2814" s="326"/>
      <c r="F2814" s="63"/>
    </row>
    <row r="2815" spans="1:6" ht="20.399999999999999">
      <c r="A2815" s="323"/>
      <c r="B2815" s="63"/>
      <c r="C2815" s="63"/>
      <c r="D2815" s="63"/>
      <c r="E2815" s="326"/>
      <c r="F2815" s="63"/>
    </row>
    <row r="2816" spans="1:6" ht="20.399999999999999">
      <c r="A2816" s="323"/>
      <c r="B2816" s="63"/>
      <c r="C2816" s="63"/>
      <c r="D2816" s="63"/>
      <c r="E2816" s="326"/>
      <c r="F2816" s="63"/>
    </row>
    <row r="2817" spans="1:6" ht="20.399999999999999">
      <c r="A2817" s="323"/>
      <c r="B2817" s="63"/>
      <c r="C2817" s="63"/>
      <c r="D2817" s="63"/>
      <c r="E2817" s="326"/>
      <c r="F2817" s="63"/>
    </row>
    <row r="2818" spans="1:6" ht="20.399999999999999">
      <c r="A2818" s="323"/>
      <c r="B2818" s="63"/>
      <c r="C2818" s="63"/>
      <c r="D2818" s="63"/>
      <c r="E2818" s="326"/>
      <c r="F2818" s="63"/>
    </row>
    <row r="2819" spans="1:6" ht="20.399999999999999">
      <c r="A2819" s="323"/>
      <c r="B2819" s="63"/>
      <c r="C2819" s="63"/>
      <c r="D2819" s="63"/>
      <c r="E2819" s="326"/>
      <c r="F2819" s="63"/>
    </row>
    <row r="2820" spans="1:6" ht="20.399999999999999">
      <c r="A2820" s="323"/>
      <c r="B2820" s="63"/>
      <c r="C2820" s="63"/>
      <c r="D2820" s="63"/>
      <c r="E2820" s="326"/>
      <c r="F2820" s="63"/>
    </row>
    <row r="2821" spans="1:6" ht="20.399999999999999">
      <c r="A2821" s="323"/>
      <c r="B2821" s="63"/>
      <c r="C2821" s="63"/>
      <c r="D2821" s="63"/>
      <c r="E2821" s="326"/>
      <c r="F2821" s="63"/>
    </row>
    <row r="2822" spans="1:6" ht="20.399999999999999">
      <c r="A2822" s="323"/>
      <c r="B2822" s="63"/>
      <c r="C2822" s="63"/>
      <c r="D2822" s="63"/>
      <c r="E2822" s="326"/>
      <c r="F2822" s="63"/>
    </row>
    <row r="2823" spans="1:6" ht="20.399999999999999">
      <c r="A2823" s="323"/>
      <c r="B2823" s="63"/>
      <c r="C2823" s="63"/>
      <c r="D2823" s="63"/>
      <c r="E2823" s="326"/>
      <c r="F2823" s="63"/>
    </row>
    <row r="2824" spans="1:6" ht="20.399999999999999">
      <c r="A2824" s="323"/>
      <c r="B2824" s="63"/>
      <c r="C2824" s="63"/>
      <c r="D2824" s="63"/>
      <c r="E2824" s="326"/>
      <c r="F2824" s="63"/>
    </row>
    <row r="2825" spans="1:6" ht="20.399999999999999">
      <c r="A2825" s="323"/>
      <c r="B2825" s="63"/>
      <c r="C2825" s="63"/>
      <c r="D2825" s="63"/>
      <c r="E2825" s="326"/>
      <c r="F2825" s="63"/>
    </row>
    <row r="2826" spans="1:6" ht="20.399999999999999">
      <c r="A2826" s="323"/>
      <c r="B2826" s="63"/>
      <c r="C2826" s="63"/>
      <c r="D2826" s="63"/>
      <c r="E2826" s="326"/>
      <c r="F2826" s="63"/>
    </row>
    <row r="2827" spans="1:6" ht="20.399999999999999">
      <c r="A2827" s="323"/>
      <c r="B2827" s="63"/>
      <c r="C2827" s="63"/>
      <c r="D2827" s="63"/>
      <c r="E2827" s="326"/>
      <c r="F2827" s="63"/>
    </row>
    <row r="2828" spans="1:6" ht="20.399999999999999">
      <c r="A2828" s="323"/>
      <c r="B2828" s="63"/>
      <c r="C2828" s="63"/>
      <c r="D2828" s="63"/>
      <c r="E2828" s="326"/>
      <c r="F2828" s="63"/>
    </row>
    <row r="2829" spans="1:6" ht="20.399999999999999">
      <c r="A2829" s="323"/>
      <c r="B2829" s="63"/>
      <c r="C2829" s="63"/>
      <c r="D2829" s="63"/>
      <c r="E2829" s="326"/>
      <c r="F2829" s="63"/>
    </row>
    <row r="2830" spans="1:6" ht="20.399999999999999">
      <c r="A2830" s="323"/>
      <c r="B2830" s="63"/>
      <c r="C2830" s="63"/>
      <c r="D2830" s="63"/>
      <c r="E2830" s="326"/>
      <c r="F2830" s="63"/>
    </row>
    <row r="2831" spans="1:6" ht="20.399999999999999">
      <c r="A2831" s="323"/>
      <c r="B2831" s="63"/>
      <c r="C2831" s="63"/>
      <c r="D2831" s="63"/>
      <c r="E2831" s="326"/>
      <c r="F2831" s="63"/>
    </row>
    <row r="2832" spans="1:6" ht="20.399999999999999">
      <c r="A2832" s="323"/>
      <c r="B2832" s="63"/>
      <c r="C2832" s="63"/>
      <c r="D2832" s="63"/>
      <c r="E2832" s="326"/>
      <c r="F2832" s="63"/>
    </row>
    <row r="2833" spans="1:6" ht="20.399999999999999">
      <c r="A2833" s="323"/>
      <c r="B2833" s="63"/>
      <c r="C2833" s="63"/>
      <c r="D2833" s="63"/>
      <c r="E2833" s="326"/>
      <c r="F2833" s="63"/>
    </row>
    <row r="2834" spans="1:6" ht="20.399999999999999">
      <c r="A2834" s="323"/>
      <c r="B2834" s="63"/>
      <c r="C2834" s="63"/>
      <c r="D2834" s="63"/>
      <c r="E2834" s="326"/>
      <c r="F2834" s="63"/>
    </row>
    <row r="2835" spans="1:6" ht="20.399999999999999">
      <c r="A2835" s="323"/>
      <c r="B2835" s="63"/>
      <c r="C2835" s="63"/>
      <c r="D2835" s="63"/>
      <c r="E2835" s="326"/>
      <c r="F2835" s="63"/>
    </row>
    <row r="2836" spans="1:6" ht="20.399999999999999">
      <c r="A2836" s="323"/>
      <c r="B2836" s="63"/>
      <c r="C2836" s="63"/>
      <c r="D2836" s="63"/>
      <c r="E2836" s="326"/>
      <c r="F2836" s="63"/>
    </row>
    <row r="2837" spans="1:6" ht="20.399999999999999">
      <c r="A2837" s="323"/>
      <c r="B2837" s="63"/>
      <c r="C2837" s="63"/>
      <c r="D2837" s="63"/>
      <c r="E2837" s="326"/>
      <c r="F2837" s="63"/>
    </row>
    <row r="2838" spans="1:6" ht="20.399999999999999">
      <c r="A2838" s="323"/>
      <c r="B2838" s="63"/>
      <c r="C2838" s="63"/>
      <c r="D2838" s="63"/>
      <c r="E2838" s="326"/>
      <c r="F2838" s="63"/>
    </row>
    <row r="2839" spans="1:6" ht="20.399999999999999">
      <c r="A2839" s="323"/>
      <c r="B2839" s="63"/>
      <c r="C2839" s="63"/>
      <c r="D2839" s="63"/>
      <c r="E2839" s="326"/>
      <c r="F2839" s="63"/>
    </row>
    <row r="2840" spans="1:6" ht="20.399999999999999">
      <c r="A2840" s="323"/>
      <c r="B2840" s="63"/>
      <c r="C2840" s="63"/>
      <c r="D2840" s="63"/>
      <c r="E2840" s="326"/>
      <c r="F2840" s="63"/>
    </row>
    <row r="2841" spans="1:6" ht="20.399999999999999">
      <c r="A2841" s="323"/>
      <c r="B2841" s="63"/>
      <c r="C2841" s="63"/>
      <c r="D2841" s="63"/>
      <c r="E2841" s="326"/>
      <c r="F2841" s="63"/>
    </row>
    <row r="2842" spans="1:6" ht="20.399999999999999">
      <c r="A2842" s="323"/>
      <c r="B2842" s="63"/>
      <c r="C2842" s="63"/>
      <c r="D2842" s="63"/>
      <c r="E2842" s="326"/>
      <c r="F2842" s="63"/>
    </row>
    <row r="2843" spans="1:6" ht="20.399999999999999">
      <c r="A2843" s="323"/>
      <c r="B2843" s="63"/>
      <c r="C2843" s="63"/>
      <c r="D2843" s="63"/>
      <c r="E2843" s="326"/>
      <c r="F2843" s="63"/>
    </row>
    <row r="2844" spans="1:6" ht="20.399999999999999">
      <c r="A2844" s="323"/>
      <c r="B2844" s="63"/>
      <c r="C2844" s="63"/>
      <c r="D2844" s="63"/>
      <c r="E2844" s="326"/>
      <c r="F2844" s="63"/>
    </row>
    <row r="2845" spans="1:6" ht="20.399999999999999">
      <c r="A2845" s="323"/>
      <c r="B2845" s="63"/>
      <c r="C2845" s="63"/>
      <c r="D2845" s="63"/>
      <c r="E2845" s="326"/>
      <c r="F2845" s="63"/>
    </row>
    <row r="2846" spans="1:6" ht="20.399999999999999">
      <c r="A2846" s="323"/>
      <c r="B2846" s="63"/>
      <c r="C2846" s="63"/>
      <c r="D2846" s="63"/>
      <c r="E2846" s="326"/>
      <c r="F2846" s="63"/>
    </row>
    <row r="2847" spans="1:6" ht="20.399999999999999">
      <c r="A2847" s="323"/>
      <c r="B2847" s="63"/>
      <c r="C2847" s="63"/>
      <c r="D2847" s="63"/>
      <c r="E2847" s="326"/>
      <c r="F2847" s="63"/>
    </row>
    <row r="2848" spans="1:6" ht="20.399999999999999">
      <c r="A2848" s="323"/>
      <c r="B2848" s="63"/>
      <c r="C2848" s="63"/>
      <c r="D2848" s="63"/>
      <c r="E2848" s="326"/>
      <c r="F2848" s="63"/>
    </row>
    <row r="2849" spans="1:6" ht="20.399999999999999">
      <c r="A2849" s="323"/>
      <c r="B2849" s="63"/>
      <c r="C2849" s="63"/>
      <c r="D2849" s="63"/>
      <c r="E2849" s="326"/>
      <c r="F2849" s="63"/>
    </row>
    <row r="2850" spans="1:6" ht="20.399999999999999">
      <c r="A2850" s="323"/>
      <c r="B2850" s="63"/>
      <c r="C2850" s="63"/>
      <c r="D2850" s="63"/>
      <c r="E2850" s="326"/>
      <c r="F2850" s="63"/>
    </row>
    <row r="2851" spans="1:6" ht="20.399999999999999">
      <c r="A2851" s="323"/>
      <c r="B2851" s="63"/>
      <c r="C2851" s="63"/>
      <c r="D2851" s="63"/>
      <c r="E2851" s="326"/>
      <c r="F2851" s="63"/>
    </row>
    <row r="2852" spans="1:6" ht="20.399999999999999">
      <c r="A2852" s="323"/>
      <c r="B2852" s="63"/>
      <c r="C2852" s="63"/>
      <c r="D2852" s="63"/>
      <c r="E2852" s="326"/>
      <c r="F2852" s="63"/>
    </row>
    <row r="2853" spans="1:6" ht="20.399999999999999">
      <c r="A2853" s="323"/>
      <c r="B2853" s="63"/>
      <c r="C2853" s="63"/>
      <c r="D2853" s="63"/>
      <c r="E2853" s="326"/>
      <c r="F2853" s="63"/>
    </row>
    <row r="2854" spans="1:6" ht="20.399999999999999">
      <c r="A2854" s="323"/>
      <c r="B2854" s="63"/>
      <c r="C2854" s="63"/>
      <c r="D2854" s="63"/>
      <c r="E2854" s="326"/>
      <c r="F2854" s="63"/>
    </row>
    <row r="2855" spans="1:6" ht="20.399999999999999">
      <c r="A2855" s="323"/>
      <c r="B2855" s="63"/>
      <c r="C2855" s="63"/>
      <c r="D2855" s="63"/>
      <c r="E2855" s="326"/>
      <c r="F2855" s="63"/>
    </row>
    <row r="2856" spans="1:6" ht="20.399999999999999">
      <c r="A2856" s="323"/>
      <c r="B2856" s="63"/>
      <c r="C2856" s="63"/>
      <c r="D2856" s="63"/>
      <c r="E2856" s="326"/>
      <c r="F2856" s="63"/>
    </row>
    <row r="2857" spans="1:6" ht="20.399999999999999">
      <c r="A2857" s="323"/>
      <c r="B2857" s="63"/>
      <c r="C2857" s="63"/>
      <c r="D2857" s="63"/>
      <c r="E2857" s="326"/>
      <c r="F2857" s="63"/>
    </row>
    <row r="2858" spans="1:6" ht="20.399999999999999">
      <c r="A2858" s="323"/>
      <c r="B2858" s="63"/>
      <c r="C2858" s="63"/>
      <c r="D2858" s="63"/>
      <c r="E2858" s="326"/>
      <c r="F2858" s="63"/>
    </row>
    <row r="2859" spans="1:6" ht="20.399999999999999">
      <c r="A2859" s="323"/>
      <c r="B2859" s="63"/>
      <c r="C2859" s="63"/>
      <c r="D2859" s="63"/>
      <c r="E2859" s="326"/>
      <c r="F2859" s="63"/>
    </row>
    <row r="2860" spans="1:6" ht="20.399999999999999">
      <c r="A2860" s="323"/>
      <c r="B2860" s="63"/>
      <c r="C2860" s="63"/>
      <c r="D2860" s="63"/>
      <c r="E2860" s="326"/>
      <c r="F2860" s="63"/>
    </row>
    <row r="2861" spans="1:6" ht="20.399999999999999">
      <c r="A2861" s="323"/>
      <c r="B2861" s="63"/>
      <c r="C2861" s="63"/>
      <c r="D2861" s="63"/>
      <c r="E2861" s="326"/>
      <c r="F2861" s="63"/>
    </row>
    <row r="2862" spans="1:6" ht="20.399999999999999">
      <c r="A2862" s="323"/>
      <c r="B2862" s="63"/>
      <c r="C2862" s="63"/>
      <c r="D2862" s="63"/>
      <c r="E2862" s="326"/>
      <c r="F2862" s="63"/>
    </row>
    <row r="2863" spans="1:6" ht="20.399999999999999">
      <c r="A2863" s="323"/>
      <c r="B2863" s="63"/>
      <c r="C2863" s="63"/>
      <c r="D2863" s="63"/>
      <c r="E2863" s="326"/>
      <c r="F2863" s="63"/>
    </row>
    <row r="2864" spans="1:6" ht="20.399999999999999">
      <c r="A2864" s="323"/>
      <c r="B2864" s="63"/>
      <c r="C2864" s="63"/>
      <c r="D2864" s="63"/>
      <c r="E2864" s="326"/>
      <c r="F2864" s="63"/>
    </row>
    <row r="2865" spans="1:6" ht="20.399999999999999">
      <c r="A2865" s="323"/>
      <c r="B2865" s="63"/>
      <c r="C2865" s="63"/>
      <c r="D2865" s="63"/>
      <c r="E2865" s="326"/>
      <c r="F2865" s="63"/>
    </row>
    <row r="2866" spans="1:6" ht="20.399999999999999">
      <c r="A2866" s="323"/>
      <c r="B2866" s="63"/>
      <c r="C2866" s="63"/>
      <c r="D2866" s="63"/>
      <c r="E2866" s="326"/>
      <c r="F2866" s="63"/>
    </row>
    <row r="2867" spans="1:6" ht="20.399999999999999">
      <c r="A2867" s="323"/>
      <c r="B2867" s="63"/>
      <c r="C2867" s="63"/>
      <c r="D2867" s="63"/>
      <c r="E2867" s="326"/>
      <c r="F2867" s="63"/>
    </row>
    <row r="2868" spans="1:6" ht="20.399999999999999">
      <c r="A2868" s="323"/>
      <c r="B2868" s="63"/>
      <c r="C2868" s="63"/>
      <c r="D2868" s="63"/>
      <c r="E2868" s="326"/>
      <c r="F2868" s="63"/>
    </row>
    <row r="2869" spans="1:6" ht="20.399999999999999">
      <c r="A2869" s="323"/>
      <c r="B2869" s="63"/>
      <c r="C2869" s="63"/>
      <c r="D2869" s="63"/>
      <c r="E2869" s="326"/>
      <c r="F2869" s="63"/>
    </row>
    <row r="2870" spans="1:6" ht="20.399999999999999">
      <c r="A2870" s="323"/>
      <c r="B2870" s="63"/>
      <c r="C2870" s="63"/>
      <c r="D2870" s="63"/>
      <c r="E2870" s="326"/>
      <c r="F2870" s="63"/>
    </row>
    <row r="2871" spans="1:6" ht="20.399999999999999">
      <c r="A2871" s="323"/>
      <c r="B2871" s="63"/>
      <c r="C2871" s="63"/>
      <c r="D2871" s="63"/>
      <c r="E2871" s="326"/>
      <c r="F2871" s="63"/>
    </row>
    <row r="2872" spans="1:6" ht="20.399999999999999">
      <c r="A2872" s="323"/>
      <c r="B2872" s="63"/>
      <c r="C2872" s="63"/>
      <c r="D2872" s="63"/>
      <c r="E2872" s="326"/>
      <c r="F2872" s="63"/>
    </row>
    <row r="2873" spans="1:6" ht="20.399999999999999">
      <c r="A2873" s="323"/>
      <c r="B2873" s="63"/>
      <c r="C2873" s="63"/>
      <c r="D2873" s="63"/>
      <c r="E2873" s="326"/>
      <c r="F2873" s="63"/>
    </row>
    <row r="2874" spans="1:6" ht="20.399999999999999">
      <c r="A2874" s="323"/>
      <c r="B2874" s="63"/>
      <c r="C2874" s="63"/>
      <c r="D2874" s="63"/>
      <c r="E2874" s="326"/>
      <c r="F2874" s="63"/>
    </row>
    <row r="2875" spans="1:6" ht="20.399999999999999">
      <c r="A2875" s="323"/>
      <c r="B2875" s="63"/>
      <c r="C2875" s="63"/>
      <c r="D2875" s="63"/>
      <c r="E2875" s="326"/>
      <c r="F2875" s="63"/>
    </row>
    <row r="2876" spans="1:6" ht="20.399999999999999">
      <c r="A2876" s="323"/>
      <c r="B2876" s="63"/>
      <c r="C2876" s="63"/>
      <c r="D2876" s="63"/>
      <c r="E2876" s="326"/>
      <c r="F2876" s="63"/>
    </row>
    <row r="2877" spans="1:6" ht="20.399999999999999">
      <c r="A2877" s="323"/>
      <c r="B2877" s="63"/>
      <c r="C2877" s="63"/>
      <c r="D2877" s="63"/>
      <c r="E2877" s="326"/>
      <c r="F2877" s="63"/>
    </row>
    <row r="2878" spans="1:6" ht="20.399999999999999">
      <c r="A2878" s="323"/>
      <c r="B2878" s="63"/>
      <c r="C2878" s="63"/>
      <c r="D2878" s="63"/>
      <c r="E2878" s="326"/>
      <c r="F2878" s="63"/>
    </row>
    <row r="2879" spans="1:6" ht="20.399999999999999">
      <c r="A2879" s="323"/>
      <c r="B2879" s="63"/>
      <c r="C2879" s="63"/>
      <c r="D2879" s="63"/>
      <c r="E2879" s="326"/>
      <c r="F2879" s="63"/>
    </row>
    <row r="2880" spans="1:6" ht="20.399999999999999">
      <c r="A2880" s="323"/>
      <c r="B2880" s="63"/>
      <c r="C2880" s="63"/>
      <c r="D2880" s="63"/>
      <c r="E2880" s="326"/>
      <c r="F2880" s="63"/>
    </row>
    <row r="2881" spans="1:6" ht="20.399999999999999">
      <c r="A2881" s="323"/>
      <c r="B2881" s="63"/>
      <c r="C2881" s="63"/>
      <c r="D2881" s="63"/>
      <c r="E2881" s="326"/>
      <c r="F2881" s="63"/>
    </row>
    <row r="2882" spans="1:6" ht="20.399999999999999">
      <c r="A2882" s="323"/>
      <c r="B2882" s="63"/>
      <c r="C2882" s="63"/>
      <c r="D2882" s="63"/>
      <c r="E2882" s="326"/>
      <c r="F2882" s="63"/>
    </row>
    <row r="2883" spans="1:6" ht="20.399999999999999">
      <c r="A2883" s="323"/>
      <c r="B2883" s="63"/>
      <c r="C2883" s="63"/>
      <c r="D2883" s="63"/>
      <c r="E2883" s="326"/>
      <c r="F2883" s="63"/>
    </row>
    <row r="2884" spans="1:6" ht="20.399999999999999">
      <c r="A2884" s="323"/>
      <c r="B2884" s="63"/>
      <c r="C2884" s="63"/>
      <c r="D2884" s="63"/>
      <c r="E2884" s="326"/>
      <c r="F2884" s="63"/>
    </row>
    <row r="2885" spans="1:6" ht="20.399999999999999">
      <c r="A2885" s="323"/>
      <c r="B2885" s="63"/>
      <c r="C2885" s="63"/>
      <c r="D2885" s="63"/>
      <c r="E2885" s="326"/>
      <c r="F2885" s="63"/>
    </row>
    <row r="2886" spans="1:6" ht="20.399999999999999">
      <c r="A2886" s="323"/>
      <c r="B2886" s="63"/>
      <c r="C2886" s="63"/>
      <c r="D2886" s="63"/>
      <c r="E2886" s="326"/>
      <c r="F2886" s="63"/>
    </row>
    <row r="2887" spans="1:6" ht="20.399999999999999">
      <c r="A2887" s="323"/>
      <c r="B2887" s="63"/>
      <c r="C2887" s="63"/>
      <c r="D2887" s="63"/>
      <c r="E2887" s="326"/>
      <c r="F2887" s="63"/>
    </row>
    <row r="2888" spans="1:6" ht="20.399999999999999">
      <c r="A2888" s="323"/>
      <c r="B2888" s="63"/>
      <c r="C2888" s="63"/>
      <c r="D2888" s="63"/>
      <c r="E2888" s="326"/>
      <c r="F2888" s="63"/>
    </row>
    <row r="2889" spans="1:6" ht="20.399999999999999">
      <c r="A2889" s="323"/>
      <c r="B2889" s="63"/>
      <c r="C2889" s="63"/>
      <c r="D2889" s="63"/>
      <c r="E2889" s="326"/>
      <c r="F2889" s="63"/>
    </row>
    <row r="2890" spans="1:6" ht="20.399999999999999">
      <c r="A2890" s="323"/>
      <c r="B2890" s="63"/>
      <c r="C2890" s="63"/>
      <c r="D2890" s="63"/>
      <c r="E2890" s="326"/>
      <c r="F2890" s="63"/>
    </row>
    <row r="2891" spans="1:6" ht="20.399999999999999">
      <c r="A2891" s="323"/>
      <c r="B2891" s="63"/>
      <c r="C2891" s="63"/>
      <c r="D2891" s="63"/>
      <c r="E2891" s="326"/>
      <c r="F2891" s="63"/>
    </row>
    <row r="2892" spans="1:6" ht="20.399999999999999">
      <c r="A2892" s="323"/>
      <c r="B2892" s="63"/>
      <c r="C2892" s="63"/>
      <c r="D2892" s="63"/>
      <c r="E2892" s="326"/>
      <c r="F2892" s="63"/>
    </row>
    <row r="2893" spans="1:6" ht="20.399999999999999">
      <c r="A2893" s="323"/>
      <c r="B2893" s="63"/>
      <c r="C2893" s="63"/>
      <c r="D2893" s="63"/>
      <c r="E2893" s="326"/>
      <c r="F2893" s="63"/>
    </row>
    <row r="2894" spans="1:6" ht="20.399999999999999">
      <c r="A2894" s="323"/>
      <c r="B2894" s="63"/>
      <c r="C2894" s="63"/>
      <c r="D2894" s="63"/>
      <c r="E2894" s="326"/>
      <c r="F2894" s="63"/>
    </row>
    <row r="2895" spans="1:6" ht="20.399999999999999">
      <c r="A2895" s="323"/>
      <c r="B2895" s="63"/>
      <c r="C2895" s="63"/>
      <c r="D2895" s="63"/>
      <c r="E2895" s="326"/>
      <c r="F2895" s="63"/>
    </row>
    <row r="2896" spans="1:6" ht="20.399999999999999">
      <c r="A2896" s="323"/>
      <c r="B2896" s="63"/>
      <c r="C2896" s="63"/>
      <c r="D2896" s="63"/>
      <c r="E2896" s="326"/>
      <c r="F2896" s="63"/>
    </row>
    <row r="2897" spans="1:6" ht="20.399999999999999">
      <c r="A2897" s="323"/>
      <c r="B2897" s="63"/>
      <c r="C2897" s="63"/>
      <c r="D2897" s="63"/>
      <c r="E2897" s="326"/>
      <c r="F2897" s="63"/>
    </row>
    <row r="2898" spans="1:6" ht="20.399999999999999">
      <c r="A2898" s="323"/>
      <c r="B2898" s="63"/>
      <c r="C2898" s="63"/>
      <c r="D2898" s="63"/>
      <c r="E2898" s="326"/>
      <c r="F2898" s="63"/>
    </row>
    <row r="2899" spans="1:6" ht="20.399999999999999">
      <c r="A2899" s="323"/>
      <c r="B2899" s="63"/>
      <c r="C2899" s="63"/>
      <c r="D2899" s="63"/>
      <c r="E2899" s="326"/>
      <c r="F2899" s="63"/>
    </row>
    <row r="2900" spans="1:6" ht="20.399999999999999">
      <c r="A2900" s="323"/>
      <c r="B2900" s="63"/>
      <c r="C2900" s="63"/>
      <c r="D2900" s="63"/>
      <c r="E2900" s="326"/>
      <c r="F2900" s="63"/>
    </row>
    <row r="2901" spans="1:6" ht="20.399999999999999">
      <c r="A2901" s="323"/>
      <c r="B2901" s="63"/>
      <c r="C2901" s="63"/>
      <c r="D2901" s="63"/>
      <c r="E2901" s="326"/>
      <c r="F2901" s="63"/>
    </row>
    <row r="2902" spans="1:6" ht="20.399999999999999">
      <c r="A2902" s="323"/>
      <c r="B2902" s="63"/>
      <c r="C2902" s="63"/>
      <c r="D2902" s="63"/>
      <c r="E2902" s="326"/>
      <c r="F2902" s="63"/>
    </row>
    <row r="2903" spans="1:6" ht="20.399999999999999">
      <c r="A2903" s="323"/>
      <c r="B2903" s="63"/>
      <c r="C2903" s="63"/>
      <c r="D2903" s="63"/>
      <c r="E2903" s="326"/>
      <c r="F2903" s="63"/>
    </row>
    <row r="2904" spans="1:6" ht="20.399999999999999">
      <c r="A2904" s="323"/>
      <c r="B2904" s="63"/>
      <c r="C2904" s="63"/>
      <c r="D2904" s="63"/>
      <c r="E2904" s="326"/>
      <c r="F2904" s="63"/>
    </row>
    <row r="2905" spans="1:6" ht="20.399999999999999">
      <c r="A2905" s="323"/>
      <c r="B2905" s="63"/>
      <c r="C2905" s="63"/>
      <c r="D2905" s="63"/>
      <c r="E2905" s="326"/>
      <c r="F2905" s="63"/>
    </row>
    <row r="2906" spans="1:6" ht="20.399999999999999">
      <c r="A2906" s="323"/>
      <c r="B2906" s="63"/>
      <c r="C2906" s="63"/>
      <c r="D2906" s="63"/>
      <c r="E2906" s="326"/>
      <c r="F2906" s="63"/>
    </row>
    <row r="2907" spans="1:6" ht="20.399999999999999">
      <c r="A2907" s="323"/>
      <c r="B2907" s="63"/>
      <c r="C2907" s="63"/>
      <c r="D2907" s="63"/>
      <c r="E2907" s="326"/>
      <c r="F2907" s="63"/>
    </row>
    <row r="2908" spans="1:6" ht="20.399999999999999">
      <c r="A2908" s="323"/>
      <c r="B2908" s="63"/>
      <c r="C2908" s="63"/>
      <c r="D2908" s="63"/>
      <c r="E2908" s="326"/>
      <c r="F2908" s="63"/>
    </row>
    <row r="2909" spans="1:6" ht="20.399999999999999">
      <c r="A2909" s="323"/>
      <c r="B2909" s="63"/>
      <c r="C2909" s="63"/>
      <c r="D2909" s="63"/>
      <c r="E2909" s="326"/>
      <c r="F2909" s="63"/>
    </row>
    <row r="2910" spans="1:6" ht="20.399999999999999">
      <c r="A2910" s="323"/>
      <c r="B2910" s="63"/>
      <c r="C2910" s="63"/>
      <c r="D2910" s="63"/>
      <c r="E2910" s="326"/>
      <c r="F2910" s="63"/>
    </row>
    <row r="2911" spans="1:6" ht="20.399999999999999">
      <c r="A2911" s="323"/>
      <c r="B2911" s="63"/>
      <c r="C2911" s="63"/>
      <c r="D2911" s="63"/>
      <c r="E2911" s="326"/>
      <c r="F2911" s="63"/>
    </row>
    <row r="2912" spans="1:6" ht="20.399999999999999">
      <c r="A2912" s="323"/>
      <c r="B2912" s="63"/>
      <c r="C2912" s="63"/>
      <c r="D2912" s="63"/>
      <c r="E2912" s="326"/>
      <c r="F2912" s="63"/>
    </row>
    <row r="2913" spans="1:6" ht="20.399999999999999">
      <c r="A2913" s="323"/>
      <c r="B2913" s="63"/>
      <c r="C2913" s="63"/>
      <c r="D2913" s="63"/>
      <c r="E2913" s="326"/>
      <c r="F2913" s="63"/>
    </row>
    <row r="2914" spans="1:6" ht="20.399999999999999">
      <c r="A2914" s="323"/>
      <c r="B2914" s="63"/>
      <c r="C2914" s="63"/>
      <c r="D2914" s="63"/>
      <c r="E2914" s="326"/>
      <c r="F2914" s="63"/>
    </row>
    <row r="2915" spans="1:6" ht="20.399999999999999">
      <c r="A2915" s="323"/>
      <c r="B2915" s="63"/>
      <c r="C2915" s="63"/>
      <c r="D2915" s="63"/>
      <c r="E2915" s="326"/>
      <c r="F2915" s="63"/>
    </row>
    <row r="2916" spans="1:6" ht="20.399999999999999">
      <c r="A2916" s="323"/>
      <c r="B2916" s="63"/>
      <c r="C2916" s="63"/>
      <c r="D2916" s="63"/>
      <c r="E2916" s="326"/>
      <c r="F2916" s="63"/>
    </row>
    <row r="2917" spans="1:6" ht="20.399999999999999">
      <c r="A2917" s="323"/>
      <c r="B2917" s="63"/>
      <c r="C2917" s="63"/>
      <c r="D2917" s="63"/>
      <c r="E2917" s="326"/>
      <c r="F2917" s="63"/>
    </row>
    <row r="2918" spans="1:6" ht="20.399999999999999">
      <c r="A2918" s="323"/>
      <c r="B2918" s="63"/>
      <c r="C2918" s="63"/>
      <c r="D2918" s="63"/>
      <c r="E2918" s="326"/>
      <c r="F2918" s="63"/>
    </row>
    <row r="2919" spans="1:6" ht="20.399999999999999">
      <c r="A2919" s="323"/>
      <c r="B2919" s="63"/>
      <c r="C2919" s="63"/>
      <c r="D2919" s="63"/>
      <c r="E2919" s="326"/>
      <c r="F2919" s="63"/>
    </row>
    <row r="2920" spans="1:6" ht="20.399999999999999">
      <c r="A2920" s="323"/>
      <c r="B2920" s="63"/>
      <c r="C2920" s="63"/>
      <c r="D2920" s="63"/>
      <c r="E2920" s="326"/>
      <c r="F2920" s="63"/>
    </row>
    <row r="2921" spans="1:6" ht="20.399999999999999">
      <c r="A2921" s="323"/>
      <c r="B2921" s="63"/>
      <c r="C2921" s="63"/>
      <c r="D2921" s="63"/>
      <c r="E2921" s="326"/>
      <c r="F2921" s="63"/>
    </row>
    <row r="2922" spans="1:6" ht="20.399999999999999">
      <c r="A2922" s="323"/>
      <c r="B2922" s="63"/>
      <c r="C2922" s="63"/>
      <c r="D2922" s="63"/>
      <c r="E2922" s="326"/>
      <c r="F2922" s="63"/>
    </row>
    <row r="2923" spans="1:6" ht="20.399999999999999">
      <c r="A2923" s="323"/>
      <c r="B2923" s="63"/>
      <c r="C2923" s="63"/>
      <c r="D2923" s="63"/>
      <c r="E2923" s="326"/>
      <c r="F2923" s="63"/>
    </row>
    <row r="2924" spans="1:6" ht="20.399999999999999">
      <c r="A2924" s="323"/>
      <c r="B2924" s="63"/>
      <c r="C2924" s="63"/>
      <c r="D2924" s="63"/>
      <c r="E2924" s="326"/>
      <c r="F2924" s="63"/>
    </row>
    <row r="2925" spans="1:6" ht="20.399999999999999">
      <c r="A2925" s="323"/>
      <c r="B2925" s="63"/>
      <c r="C2925" s="63"/>
      <c r="D2925" s="63"/>
      <c r="E2925" s="326"/>
      <c r="F2925" s="63"/>
    </row>
    <row r="2926" spans="1:6" ht="20.399999999999999">
      <c r="A2926" s="323"/>
      <c r="B2926" s="63"/>
      <c r="C2926" s="63"/>
      <c r="D2926" s="63"/>
      <c r="E2926" s="326"/>
      <c r="F2926" s="63"/>
    </row>
    <row r="2927" spans="1:6" ht="20.399999999999999">
      <c r="A2927" s="323"/>
      <c r="B2927" s="63"/>
      <c r="C2927" s="63"/>
      <c r="D2927" s="63"/>
      <c r="E2927" s="326"/>
      <c r="F2927" s="63"/>
    </row>
    <row r="2928" spans="1:6" ht="20.399999999999999">
      <c r="A2928" s="323"/>
      <c r="B2928" s="63"/>
      <c r="C2928" s="63"/>
      <c r="D2928" s="63"/>
      <c r="E2928" s="326"/>
      <c r="F2928" s="63"/>
    </row>
    <row r="2929" spans="1:6" ht="20.399999999999999">
      <c r="A2929" s="323"/>
      <c r="B2929" s="63"/>
      <c r="C2929" s="63"/>
      <c r="D2929" s="63"/>
      <c r="E2929" s="326"/>
      <c r="F2929" s="63"/>
    </row>
    <row r="2930" spans="1:6" ht="20.399999999999999">
      <c r="A2930" s="323"/>
      <c r="B2930" s="63"/>
      <c r="C2930" s="63"/>
      <c r="D2930" s="63"/>
      <c r="E2930" s="326"/>
      <c r="F2930" s="63"/>
    </row>
    <row r="2931" spans="1:6" ht="20.399999999999999">
      <c r="A2931" s="323"/>
      <c r="B2931" s="63"/>
      <c r="C2931" s="63"/>
      <c r="D2931" s="63"/>
      <c r="E2931" s="326"/>
      <c r="F2931" s="63"/>
    </row>
    <row r="2932" spans="1:6" ht="20.399999999999999">
      <c r="A2932" s="323"/>
      <c r="B2932" s="63"/>
      <c r="C2932" s="63"/>
      <c r="D2932" s="63"/>
      <c r="E2932" s="326"/>
      <c r="F2932" s="63"/>
    </row>
    <row r="2933" spans="1:6" ht="20.399999999999999">
      <c r="A2933" s="323"/>
      <c r="B2933" s="63"/>
      <c r="C2933" s="63"/>
      <c r="D2933" s="63"/>
      <c r="E2933" s="326"/>
      <c r="F2933" s="63"/>
    </row>
    <row r="2934" spans="1:6" ht="20.399999999999999">
      <c r="A2934" s="323"/>
      <c r="B2934" s="63"/>
      <c r="C2934" s="63"/>
      <c r="D2934" s="63"/>
      <c r="E2934" s="326"/>
      <c r="F2934" s="63"/>
    </row>
    <row r="2935" spans="1:6" ht="20.399999999999999">
      <c r="A2935" s="323"/>
      <c r="B2935" s="63"/>
      <c r="C2935" s="63"/>
      <c r="D2935" s="63"/>
      <c r="E2935" s="326"/>
      <c r="F2935" s="63"/>
    </row>
    <row r="2936" spans="1:6" ht="20.399999999999999">
      <c r="A2936" s="323"/>
      <c r="B2936" s="63"/>
      <c r="C2936" s="63"/>
      <c r="D2936" s="63"/>
      <c r="E2936" s="326"/>
      <c r="F2936" s="63"/>
    </row>
  </sheetData>
  <mergeCells count="10">
    <mergeCell ref="B217:F217"/>
    <mergeCell ref="A1:H1"/>
    <mergeCell ref="A2:H2"/>
    <mergeCell ref="A202:H202"/>
    <mergeCell ref="A203:H203"/>
    <mergeCell ref="D4:F4"/>
    <mergeCell ref="A102:H102"/>
    <mergeCell ref="A103:H103"/>
    <mergeCell ref="C76:E76"/>
    <mergeCell ref="B73:D73"/>
  </mergeCells>
  <phoneticPr fontId="0" type="noConversion"/>
  <printOptions horizontalCentered="1"/>
  <pageMargins left="0.45" right="0.45" top="0.75" bottom="0.5" header="0.5" footer="0.5"/>
  <pageSetup scale="42" fitToHeight="10" orientation="portrait" r:id="rId1"/>
  <headerFooter alignWithMargins="0">
    <oddHeader>&amp;C&amp;"Times New Roman,Bold"&amp;16ADDENDUM 27 TO ATTACHMENT H  Page &amp;P of &amp;N
NorthWestern Corporation (South Dakota)</oddHeader>
  </headerFooter>
  <rowBreaks count="2" manualBreakCount="2">
    <brk id="101" max="7" man="1"/>
    <brk id="201" max="7" man="1"/>
  </rowBreaks>
  <colBreaks count="1" manualBreakCount="1">
    <brk id="8" max="3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9"/>
  <sheetViews>
    <sheetView zoomScale="80" zoomScaleNormal="80" workbookViewId="0">
      <selection activeCell="P18" sqref="P18"/>
    </sheetView>
  </sheetViews>
  <sheetFormatPr defaultRowHeight="13.2"/>
  <cols>
    <col min="1" max="1" width="2" customWidth="1"/>
    <col min="2" max="2" width="5.6640625" customWidth="1"/>
    <col min="3" max="3" width="8.33203125" style="21" customWidth="1"/>
    <col min="4" max="4" width="48.5546875" customWidth="1"/>
    <col min="5" max="5" width="14.44140625" customWidth="1"/>
    <col min="6" max="6" width="14.6640625" customWidth="1"/>
    <col min="7" max="7" width="20.88671875" customWidth="1"/>
    <col min="8" max="8" width="14.33203125" customWidth="1"/>
    <col min="9" max="9" width="11.33203125" customWidth="1"/>
    <col min="10" max="10" width="14.109375" customWidth="1"/>
    <col min="11" max="11" width="12.6640625" customWidth="1"/>
    <col min="12" max="12" width="13.5546875" customWidth="1"/>
    <col min="13" max="13" width="49" customWidth="1"/>
  </cols>
  <sheetData>
    <row r="1" spans="2:15" ht="20.399999999999999">
      <c r="B1" s="944" t="s">
        <v>127</v>
      </c>
      <c r="C1" s="944"/>
      <c r="D1" s="945"/>
      <c r="E1" s="945"/>
      <c r="F1" s="945"/>
      <c r="G1" s="945"/>
      <c r="H1" s="945"/>
      <c r="I1" s="945"/>
      <c r="J1" s="945"/>
      <c r="K1" s="945"/>
      <c r="L1" s="945"/>
      <c r="M1" s="945"/>
      <c r="O1" s="727"/>
    </row>
    <row r="2" spans="2:15" ht="19.2">
      <c r="B2" s="946" t="str">
        <f>Inputs!B2</f>
        <v>(For Rate Year Beginning April 1, 2026, Based on December 31, 2025 Data)</v>
      </c>
      <c r="C2" s="946"/>
      <c r="D2" s="946"/>
      <c r="E2" s="946"/>
      <c r="F2" s="946"/>
      <c r="G2" s="946"/>
      <c r="H2" s="946"/>
      <c r="I2" s="947"/>
      <c r="J2" s="947"/>
      <c r="K2" s="948"/>
      <c r="L2" s="948"/>
      <c r="M2" s="948"/>
    </row>
    <row r="3" spans="2:15" ht="8.1" customHeight="1">
      <c r="B3" s="169"/>
      <c r="C3" s="168"/>
      <c r="D3" s="170"/>
      <c r="E3" s="170"/>
      <c r="F3" s="170"/>
      <c r="G3" s="170"/>
      <c r="H3" s="170"/>
      <c r="I3" s="170"/>
      <c r="J3" s="170"/>
      <c r="K3" s="171"/>
      <c r="L3" s="170"/>
      <c r="M3" s="170"/>
    </row>
    <row r="4" spans="2:15" ht="14.4">
      <c r="B4" s="169"/>
      <c r="C4" s="168"/>
      <c r="D4" s="171"/>
      <c r="E4" s="744" t="s">
        <v>533</v>
      </c>
      <c r="F4" s="744" t="s">
        <v>534</v>
      </c>
      <c r="G4" s="744" t="s">
        <v>535</v>
      </c>
      <c r="H4" s="744" t="s">
        <v>536</v>
      </c>
      <c r="I4" s="744" t="s">
        <v>537</v>
      </c>
      <c r="J4" s="744" t="s">
        <v>538</v>
      </c>
      <c r="K4" s="744" t="s">
        <v>539</v>
      </c>
      <c r="L4" s="744" t="s">
        <v>1281</v>
      </c>
      <c r="M4" s="744" t="s">
        <v>1282</v>
      </c>
    </row>
    <row r="5" spans="2:15" ht="15" customHeight="1">
      <c r="B5" s="169"/>
      <c r="C5" s="168"/>
      <c r="D5" s="170"/>
      <c r="E5" s="949" t="s">
        <v>1270</v>
      </c>
      <c r="F5" s="949" t="s">
        <v>1271</v>
      </c>
      <c r="G5" s="949" t="s">
        <v>1272</v>
      </c>
      <c r="H5" s="949" t="s">
        <v>325</v>
      </c>
      <c r="I5" s="949" t="s">
        <v>326</v>
      </c>
      <c r="J5" s="949" t="s">
        <v>1283</v>
      </c>
      <c r="K5" s="949" t="s">
        <v>1284</v>
      </c>
      <c r="L5" s="949" t="s">
        <v>1285</v>
      </c>
      <c r="M5" s="949" t="s">
        <v>257</v>
      </c>
    </row>
    <row r="6" spans="2:15" ht="13.8">
      <c r="B6" s="169"/>
      <c r="C6" s="168"/>
      <c r="D6" s="170"/>
      <c r="E6" s="949" t="s">
        <v>441</v>
      </c>
      <c r="F6" s="949" t="s">
        <v>441</v>
      </c>
      <c r="G6" s="949" t="s">
        <v>441</v>
      </c>
      <c r="H6" s="949"/>
      <c r="I6" s="951"/>
      <c r="J6" s="951" t="s">
        <v>363</v>
      </c>
      <c r="K6" s="951" t="s">
        <v>387</v>
      </c>
      <c r="L6" s="951" t="s">
        <v>540</v>
      </c>
      <c r="M6" s="951"/>
    </row>
    <row r="7" spans="2:15" ht="13.8">
      <c r="B7" s="169"/>
      <c r="C7" s="168"/>
      <c r="D7" s="170"/>
      <c r="E7" s="950" t="s">
        <v>541</v>
      </c>
      <c r="F7" s="950" t="s">
        <v>541</v>
      </c>
      <c r="G7" s="950" t="s">
        <v>541</v>
      </c>
      <c r="H7" s="950"/>
      <c r="I7" s="952"/>
      <c r="J7" s="952" t="s">
        <v>386</v>
      </c>
      <c r="K7" s="952" t="s">
        <v>386</v>
      </c>
      <c r="L7" s="952" t="s">
        <v>542</v>
      </c>
      <c r="M7" s="952" t="s">
        <v>257</v>
      </c>
    </row>
    <row r="8" spans="2:15" ht="13.8">
      <c r="B8" s="172" t="s">
        <v>244</v>
      </c>
      <c r="C8" s="172" t="s">
        <v>61</v>
      </c>
      <c r="D8" s="173" t="s">
        <v>543</v>
      </c>
      <c r="E8" s="173"/>
      <c r="F8" s="170"/>
      <c r="G8" s="170"/>
      <c r="H8" s="170"/>
      <c r="I8" s="170"/>
      <c r="J8" s="170"/>
      <c r="K8" s="170"/>
      <c r="L8" s="170"/>
      <c r="M8" s="170"/>
    </row>
    <row r="9" spans="2:15" ht="13.8">
      <c r="B9" s="168">
        <v>1</v>
      </c>
      <c r="C9" s="387">
        <v>190</v>
      </c>
      <c r="D9" s="388" t="s">
        <v>1273</v>
      </c>
      <c r="E9" s="389">
        <f>+Inputs!D147</f>
        <v>0</v>
      </c>
      <c r="F9" s="389">
        <f>+Inputs!D148</f>
        <v>0</v>
      </c>
      <c r="G9" s="790">
        <f>(E9+F9)/2</f>
        <v>0</v>
      </c>
      <c r="H9" s="389"/>
      <c r="I9" s="389"/>
      <c r="J9" s="389">
        <f>+G9</f>
        <v>0</v>
      </c>
      <c r="K9" s="389"/>
      <c r="L9" s="249"/>
      <c r="M9" s="388"/>
    </row>
    <row r="10" spans="2:15" ht="13.8">
      <c r="B10" s="251">
        <f>+B9+1</f>
        <v>2</v>
      </c>
      <c r="C10" s="387">
        <v>190</v>
      </c>
      <c r="D10" s="388" t="s">
        <v>1274</v>
      </c>
      <c r="E10" s="389">
        <f>+Inputs!D149</f>
        <v>1977771</v>
      </c>
      <c r="F10" s="389">
        <f>+Inputs!D150</f>
        <v>1996847</v>
      </c>
      <c r="G10" s="790">
        <f>(E10+F10)/2</f>
        <v>1987309</v>
      </c>
      <c r="H10" s="389"/>
      <c r="I10" s="389"/>
      <c r="J10" s="389">
        <f>+G10</f>
        <v>1987309</v>
      </c>
      <c r="K10" s="389"/>
      <c r="L10" s="249"/>
      <c r="M10" s="388"/>
    </row>
    <row r="11" spans="2:15" ht="13.8">
      <c r="B11" s="251">
        <f t="shared" ref="B11:B53" si="0">+B10+1</f>
        <v>3</v>
      </c>
      <c r="C11" s="387">
        <v>190</v>
      </c>
      <c r="D11" s="388" t="s">
        <v>1275</v>
      </c>
      <c r="E11" s="389">
        <f>+Inputs!D151</f>
        <v>1005276</v>
      </c>
      <c r="F11" s="389">
        <f>+Inputs!D152</f>
        <v>975746</v>
      </c>
      <c r="G11" s="790">
        <f t="shared" ref="G11:G21" si="1">(E11+F11)/2</f>
        <v>990511</v>
      </c>
      <c r="H11" s="389"/>
      <c r="I11" s="389"/>
      <c r="J11" s="389"/>
      <c r="K11" s="389">
        <f>+G11</f>
        <v>990511</v>
      </c>
      <c r="L11" s="250"/>
      <c r="M11" s="388" t="s">
        <v>569</v>
      </c>
    </row>
    <row r="12" spans="2:15" ht="13.8">
      <c r="B12" s="251">
        <f t="shared" si="0"/>
        <v>4</v>
      </c>
      <c r="C12" s="387">
        <v>190</v>
      </c>
      <c r="D12" s="388" t="s">
        <v>1276</v>
      </c>
      <c r="E12" s="389">
        <f>+Inputs!D153</f>
        <v>292505</v>
      </c>
      <c r="F12" s="389">
        <f>+Inputs!D154</f>
        <v>551314</v>
      </c>
      <c r="G12" s="790">
        <f t="shared" si="1"/>
        <v>421909.5</v>
      </c>
      <c r="H12" s="389"/>
      <c r="I12" s="389"/>
      <c r="J12" s="389">
        <f>+G12</f>
        <v>421909.5</v>
      </c>
      <c r="K12" s="389"/>
      <c r="L12" s="250"/>
      <c r="M12" s="388"/>
    </row>
    <row r="13" spans="2:15" ht="13.8">
      <c r="B13" s="251">
        <f t="shared" si="0"/>
        <v>5</v>
      </c>
      <c r="C13" s="387">
        <v>190</v>
      </c>
      <c r="D13" s="388" t="s">
        <v>1277</v>
      </c>
      <c r="E13" s="389">
        <f>+Inputs!D155</f>
        <v>-765014</v>
      </c>
      <c r="F13" s="389">
        <f>+Inputs!D156</f>
        <v>-729568</v>
      </c>
      <c r="G13" s="790">
        <f t="shared" si="1"/>
        <v>-747291</v>
      </c>
      <c r="H13" s="389"/>
      <c r="I13" s="389"/>
      <c r="J13" s="389"/>
      <c r="K13" s="389">
        <f>+G13</f>
        <v>-747291</v>
      </c>
      <c r="L13" s="250"/>
      <c r="M13" s="388" t="s">
        <v>570</v>
      </c>
    </row>
    <row r="14" spans="2:15" ht="13.8">
      <c r="B14" s="251">
        <f t="shared" si="0"/>
        <v>6</v>
      </c>
      <c r="C14" s="387">
        <v>190</v>
      </c>
      <c r="D14" s="388" t="s">
        <v>639</v>
      </c>
      <c r="E14" s="389">
        <f>+Inputs!D157</f>
        <v>1937734</v>
      </c>
      <c r="F14" s="389">
        <f>+Inputs!D158</f>
        <v>1984141</v>
      </c>
      <c r="G14" s="790">
        <f t="shared" si="1"/>
        <v>1960937.5</v>
      </c>
      <c r="H14" s="389">
        <f>+G14</f>
        <v>1960937.5</v>
      </c>
      <c r="I14" s="389"/>
      <c r="J14" s="389"/>
      <c r="K14" s="389"/>
      <c r="L14" s="250"/>
      <c r="M14" s="388" t="s">
        <v>640</v>
      </c>
    </row>
    <row r="15" spans="2:15" ht="13.8">
      <c r="B15" s="251">
        <f t="shared" si="0"/>
        <v>7</v>
      </c>
      <c r="C15" s="387">
        <v>190</v>
      </c>
      <c r="D15" s="388" t="s">
        <v>1278</v>
      </c>
      <c r="E15" s="389">
        <f>+Inputs!D159</f>
        <v>-129189</v>
      </c>
      <c r="F15" s="389">
        <f>+Inputs!D160</f>
        <v>-155819</v>
      </c>
      <c r="G15" s="790">
        <f t="shared" si="1"/>
        <v>-142504</v>
      </c>
      <c r="H15" s="389">
        <f>+G15</f>
        <v>-142504</v>
      </c>
      <c r="I15" s="389"/>
      <c r="J15" s="389"/>
      <c r="K15" s="389"/>
      <c r="L15" s="250"/>
      <c r="M15" s="388"/>
      <c r="O15" s="727"/>
    </row>
    <row r="16" spans="2:15" ht="13.8">
      <c r="B16" s="251">
        <f t="shared" si="0"/>
        <v>8</v>
      </c>
      <c r="C16" s="387">
        <v>190</v>
      </c>
      <c r="D16" s="388" t="s">
        <v>1279</v>
      </c>
      <c r="E16" s="389">
        <f>+Inputs!D161</f>
        <v>0</v>
      </c>
      <c r="F16" s="389">
        <f>+Inputs!D162</f>
        <v>0</v>
      </c>
      <c r="G16" s="790">
        <f t="shared" si="1"/>
        <v>0</v>
      </c>
      <c r="H16" s="389">
        <f>+G16</f>
        <v>0</v>
      </c>
      <c r="I16" s="389"/>
      <c r="J16" s="389"/>
      <c r="K16" s="389"/>
      <c r="L16" s="250"/>
      <c r="M16" s="388"/>
    </row>
    <row r="17" spans="2:13" ht="27.6">
      <c r="B17" s="251">
        <f t="shared" si="0"/>
        <v>9</v>
      </c>
      <c r="C17" s="387">
        <v>190</v>
      </c>
      <c r="D17" s="388" t="s">
        <v>1280</v>
      </c>
      <c r="E17" s="389">
        <f>+Inputs!D163</f>
        <v>18713216</v>
      </c>
      <c r="F17" s="389">
        <f>+Inputs!D164</f>
        <v>15178165</v>
      </c>
      <c r="G17" s="790">
        <f t="shared" si="1"/>
        <v>16945690.5</v>
      </c>
      <c r="H17" s="389"/>
      <c r="I17" s="389"/>
      <c r="J17" s="389">
        <v>1180776</v>
      </c>
      <c r="K17" s="389"/>
      <c r="L17" s="250"/>
      <c r="M17" s="388" t="s">
        <v>1509</v>
      </c>
    </row>
    <row r="18" spans="2:13" ht="27.6">
      <c r="B18" s="251">
        <f t="shared" si="0"/>
        <v>10</v>
      </c>
      <c r="C18" s="387">
        <v>190</v>
      </c>
      <c r="D18" s="388" t="s">
        <v>643</v>
      </c>
      <c r="E18" s="389">
        <f>+Inputs!D165</f>
        <v>77930279</v>
      </c>
      <c r="F18" s="389">
        <f>+Inputs!D166</f>
        <v>68247202</v>
      </c>
      <c r="G18" s="790">
        <f t="shared" si="1"/>
        <v>73088740.5</v>
      </c>
      <c r="H18" s="389">
        <f>+G18</f>
        <v>73088740.5</v>
      </c>
      <c r="I18" s="389"/>
      <c r="J18" s="389"/>
      <c r="K18" s="389"/>
      <c r="L18" s="250"/>
      <c r="M18" s="388" t="s">
        <v>1508</v>
      </c>
    </row>
    <row r="19" spans="2:13" ht="13.8">
      <c r="B19" s="251">
        <f t="shared" si="0"/>
        <v>11</v>
      </c>
      <c r="C19" s="387"/>
      <c r="D19" s="388"/>
      <c r="E19" s="389"/>
      <c r="F19" s="389"/>
      <c r="G19" s="790">
        <f t="shared" si="1"/>
        <v>0</v>
      </c>
      <c r="H19" s="389"/>
      <c r="I19" s="389"/>
      <c r="J19" s="389"/>
      <c r="K19" s="389"/>
      <c r="L19" s="250"/>
      <c r="M19" s="388"/>
    </row>
    <row r="20" spans="2:13" ht="13.8">
      <c r="B20" s="251">
        <f t="shared" si="0"/>
        <v>12</v>
      </c>
      <c r="C20" s="387"/>
      <c r="D20" s="388"/>
      <c r="E20" s="389"/>
      <c r="F20" s="389"/>
      <c r="G20" s="790">
        <f t="shared" si="1"/>
        <v>0</v>
      </c>
      <c r="H20" s="389"/>
      <c r="I20" s="389"/>
      <c r="J20" s="389"/>
      <c r="K20" s="389"/>
      <c r="L20" s="250"/>
      <c r="M20" s="388"/>
    </row>
    <row r="21" spans="2:13" ht="13.8">
      <c r="B21" s="251">
        <f t="shared" si="0"/>
        <v>13</v>
      </c>
      <c r="C21" s="387"/>
      <c r="D21" s="388"/>
      <c r="E21" s="389"/>
      <c r="F21" s="389"/>
      <c r="G21" s="790">
        <f t="shared" si="1"/>
        <v>0</v>
      </c>
      <c r="H21" s="389"/>
      <c r="I21" s="389"/>
      <c r="J21" s="389"/>
      <c r="K21" s="389"/>
      <c r="L21" s="250"/>
      <c r="M21" s="388"/>
    </row>
    <row r="22" spans="2:13" ht="13.8">
      <c r="B22" s="251">
        <f t="shared" si="0"/>
        <v>14</v>
      </c>
      <c r="C22" s="168"/>
      <c r="D22" s="170"/>
      <c r="E22" s="170"/>
      <c r="F22" s="175"/>
      <c r="G22" s="175"/>
      <c r="H22" s="175"/>
      <c r="I22" s="175"/>
      <c r="J22" s="175"/>
      <c r="K22" s="175"/>
      <c r="L22" s="175"/>
      <c r="M22" s="170"/>
    </row>
    <row r="23" spans="2:13" ht="13.8">
      <c r="B23" s="251">
        <f t="shared" si="0"/>
        <v>15</v>
      </c>
      <c r="C23" s="168"/>
      <c r="D23" s="176" t="s">
        <v>40</v>
      </c>
      <c r="E23" s="175">
        <f t="shared" ref="E23:F23" si="2">SUM(E9:E21)</f>
        <v>100962578</v>
      </c>
      <c r="F23" s="175">
        <f t="shared" si="2"/>
        <v>88048028</v>
      </c>
      <c r="G23" s="175">
        <f>SUM(G9:G21)</f>
        <v>94505303</v>
      </c>
      <c r="H23" s="175">
        <f t="shared" ref="H23:K23" si="3">SUM(H9:H21)</f>
        <v>74907174</v>
      </c>
      <c r="I23" s="175">
        <f t="shared" si="3"/>
        <v>0</v>
      </c>
      <c r="J23" s="175">
        <f t="shared" si="3"/>
        <v>3589994.5</v>
      </c>
      <c r="K23" s="175">
        <f t="shared" si="3"/>
        <v>243220</v>
      </c>
      <c r="L23" s="175"/>
      <c r="M23" s="170"/>
    </row>
    <row r="24" spans="2:13" ht="56.25" customHeight="1">
      <c r="B24" s="251">
        <f t="shared" si="0"/>
        <v>16</v>
      </c>
      <c r="C24" s="168"/>
      <c r="D24" s="731" t="s">
        <v>1588</v>
      </c>
      <c r="E24" s="232">
        <f>+Inputs!D145</f>
        <v>100962578</v>
      </c>
      <c r="F24" s="232">
        <f>+Inputs!D146</f>
        <v>88048028</v>
      </c>
      <c r="G24" s="232"/>
      <c r="H24" s="175"/>
      <c r="I24" s="175"/>
      <c r="J24" s="175"/>
      <c r="K24" s="175"/>
      <c r="L24" s="175"/>
      <c r="M24" s="170"/>
    </row>
    <row r="25" spans="2:13" ht="13.8">
      <c r="B25" s="251">
        <f t="shared" si="0"/>
        <v>17</v>
      </c>
      <c r="C25" s="383"/>
      <c r="D25" s="176" t="s">
        <v>41</v>
      </c>
      <c r="E25" s="176"/>
      <c r="F25" s="177"/>
      <c r="G25" s="177"/>
      <c r="H25" s="442">
        <f>0</f>
        <v>0</v>
      </c>
      <c r="I25" s="442">
        <f>1</f>
        <v>1</v>
      </c>
      <c r="J25" s="442">
        <f>AppendixA!H27</f>
        <v>7.4491583404762904E-2</v>
      </c>
      <c r="K25" s="442">
        <f>AppendixA!H16</f>
        <v>4.4161101816983732E-2</v>
      </c>
      <c r="L25" s="170"/>
      <c r="M25" s="170"/>
    </row>
    <row r="26" spans="2:13" ht="13.8">
      <c r="B26" s="251">
        <f t="shared" si="0"/>
        <v>18</v>
      </c>
      <c r="C26" s="168"/>
      <c r="D26" s="176" t="s">
        <v>503</v>
      </c>
      <c r="E26" s="176"/>
      <c r="F26" s="175"/>
      <c r="G26" s="175"/>
      <c r="H26" s="255">
        <f>H23*H25</f>
        <v>0</v>
      </c>
      <c r="I26" s="255">
        <f>I23*I25</f>
        <v>0</v>
      </c>
      <c r="J26" s="175">
        <f>J23*J25</f>
        <v>267424.37471939012</v>
      </c>
      <c r="K26" s="175">
        <f>K23*K25</f>
        <v>10740.863183926784</v>
      </c>
      <c r="L26" s="510">
        <f>SUM(H26:K26)</f>
        <v>278165.23790331691</v>
      </c>
      <c r="M26" s="170"/>
    </row>
    <row r="27" spans="2:13" ht="13.8">
      <c r="B27" s="251">
        <f t="shared" si="0"/>
        <v>19</v>
      </c>
      <c r="C27" s="168"/>
      <c r="D27" s="176"/>
      <c r="E27" s="176"/>
      <c r="F27" s="175"/>
      <c r="G27" s="175"/>
      <c r="H27" s="175"/>
      <c r="I27" s="175"/>
      <c r="J27" s="175"/>
      <c r="K27" s="175"/>
      <c r="L27" s="175"/>
      <c r="M27" s="170"/>
    </row>
    <row r="28" spans="2:13" ht="13.8">
      <c r="B28" s="251">
        <f t="shared" si="0"/>
        <v>20</v>
      </c>
      <c r="C28" s="168"/>
      <c r="D28" s="176"/>
      <c r="E28" s="176"/>
      <c r="F28" s="170"/>
      <c r="G28" s="170"/>
      <c r="H28" s="170"/>
      <c r="I28" s="170"/>
      <c r="J28" s="178"/>
      <c r="K28" s="178"/>
      <c r="L28" s="170"/>
      <c r="M28" s="170"/>
    </row>
    <row r="29" spans="2:13" ht="28.2" customHeight="1">
      <c r="B29" s="251">
        <f t="shared" si="0"/>
        <v>21</v>
      </c>
      <c r="C29" s="387">
        <v>282</v>
      </c>
      <c r="D29" s="388" t="s">
        <v>1286</v>
      </c>
      <c r="E29" s="389">
        <f>-Inputs!D171</f>
        <v>-93215960</v>
      </c>
      <c r="F29" s="389">
        <f>-Inputs!D172</f>
        <v>-95132076</v>
      </c>
      <c r="G29" s="790">
        <f t="shared" ref="G29:G33" si="4">(E29+F29)/2</f>
        <v>-94174018</v>
      </c>
      <c r="H29" s="389"/>
      <c r="I29" s="389"/>
      <c r="J29" s="389">
        <f>+G29</f>
        <v>-94174018</v>
      </c>
      <c r="K29" s="389"/>
      <c r="L29" s="250"/>
      <c r="M29" s="388" t="s">
        <v>709</v>
      </c>
    </row>
    <row r="30" spans="2:13" ht="13.8">
      <c r="B30" s="251">
        <f t="shared" si="0"/>
        <v>22</v>
      </c>
      <c r="C30" s="387">
        <v>282</v>
      </c>
      <c r="D30" s="388" t="s">
        <v>643</v>
      </c>
      <c r="E30" s="389">
        <f>-Inputs!D173</f>
        <v>-20817026</v>
      </c>
      <c r="F30" s="389">
        <f>-Inputs!D174</f>
        <v>-20581488</v>
      </c>
      <c r="G30" s="790">
        <f t="shared" si="4"/>
        <v>-20699257</v>
      </c>
      <c r="H30" s="389">
        <f>+G30</f>
        <v>-20699257</v>
      </c>
      <c r="I30" s="389"/>
      <c r="J30" s="389"/>
      <c r="K30" s="389"/>
      <c r="L30" s="250"/>
      <c r="M30" s="388" t="s">
        <v>642</v>
      </c>
    </row>
    <row r="31" spans="2:13" ht="13.8">
      <c r="B31" s="251">
        <f t="shared" si="0"/>
        <v>23</v>
      </c>
      <c r="C31" s="387"/>
      <c r="D31" s="388"/>
      <c r="E31" s="389"/>
      <c r="F31" s="389"/>
      <c r="G31" s="790">
        <f t="shared" si="4"/>
        <v>0</v>
      </c>
      <c r="H31" s="389"/>
      <c r="I31" s="389"/>
      <c r="J31" s="389"/>
      <c r="K31" s="389"/>
      <c r="L31" s="250"/>
      <c r="M31" s="388"/>
    </row>
    <row r="32" spans="2:13" ht="13.8">
      <c r="B32" s="251">
        <f t="shared" si="0"/>
        <v>24</v>
      </c>
      <c r="C32" s="387"/>
      <c r="D32" s="388"/>
      <c r="E32" s="389"/>
      <c r="F32" s="389"/>
      <c r="G32" s="790">
        <f t="shared" si="4"/>
        <v>0</v>
      </c>
      <c r="H32" s="389"/>
      <c r="I32" s="389"/>
      <c r="J32" s="389"/>
      <c r="K32" s="389"/>
      <c r="L32" s="250"/>
      <c r="M32" s="388"/>
    </row>
    <row r="33" spans="2:13" ht="13.8">
      <c r="B33" s="251">
        <f t="shared" si="0"/>
        <v>25</v>
      </c>
      <c r="C33" s="387"/>
      <c r="D33" s="388"/>
      <c r="E33" s="389"/>
      <c r="F33" s="389"/>
      <c r="G33" s="790">
        <f t="shared" si="4"/>
        <v>0</v>
      </c>
      <c r="H33" s="389"/>
      <c r="I33" s="389"/>
      <c r="J33" s="389"/>
      <c r="K33" s="389"/>
      <c r="L33" s="250"/>
      <c r="M33" s="388"/>
    </row>
    <row r="34" spans="2:13" ht="13.8">
      <c r="B34" s="251">
        <f t="shared" si="0"/>
        <v>26</v>
      </c>
      <c r="C34" s="382"/>
      <c r="D34" s="170"/>
      <c r="E34" s="170"/>
      <c r="F34" s="175"/>
      <c r="G34" s="175"/>
      <c r="H34" s="175"/>
      <c r="I34" s="175"/>
      <c r="J34" s="175"/>
      <c r="K34" s="175"/>
      <c r="L34" s="175"/>
      <c r="M34" s="179"/>
    </row>
    <row r="35" spans="2:13" ht="13.8">
      <c r="B35" s="251">
        <f t="shared" si="0"/>
        <v>27</v>
      </c>
      <c r="C35" s="382"/>
      <c r="D35" s="180" t="s">
        <v>492</v>
      </c>
      <c r="E35" s="175">
        <f>SUM(E29:E33)</f>
        <v>-114032986</v>
      </c>
      <c r="F35" s="175">
        <f>SUM(F29:F33)</f>
        <v>-115713564</v>
      </c>
      <c r="G35" s="175">
        <f>SUM(G29:G33)</f>
        <v>-114873275</v>
      </c>
      <c r="H35" s="175">
        <f t="shared" ref="H35:K35" si="5">SUM(H29:H33)</f>
        <v>-20699257</v>
      </c>
      <c r="I35" s="175">
        <f t="shared" si="5"/>
        <v>0</v>
      </c>
      <c r="J35" s="175">
        <f t="shared" si="5"/>
        <v>-94174018</v>
      </c>
      <c r="K35" s="175">
        <f t="shared" si="5"/>
        <v>0</v>
      </c>
      <c r="L35" s="175"/>
      <c r="M35" s="179"/>
    </row>
    <row r="36" spans="2:13" ht="49.5" customHeight="1">
      <c r="B36" s="251">
        <f t="shared" si="0"/>
        <v>28</v>
      </c>
      <c r="C36" s="382"/>
      <c r="D36" s="180" t="s">
        <v>1589</v>
      </c>
      <c r="E36" s="233">
        <f>-Inputs!D169</f>
        <v>-114032986</v>
      </c>
      <c r="F36" s="233">
        <f>-Inputs!D170</f>
        <v>-115713564</v>
      </c>
      <c r="G36" s="233"/>
      <c r="H36" s="175"/>
      <c r="I36" s="175"/>
      <c r="J36" s="175"/>
      <c r="K36" s="175"/>
      <c r="L36" s="175"/>
      <c r="M36" s="179"/>
    </row>
    <row r="37" spans="2:13" ht="13.8">
      <c r="B37" s="251">
        <f t="shared" si="0"/>
        <v>29</v>
      </c>
      <c r="C37" s="382"/>
      <c r="D37" s="176" t="s">
        <v>41</v>
      </c>
      <c r="E37" s="176"/>
      <c r="F37" s="177"/>
      <c r="G37" s="177"/>
      <c r="H37" s="442">
        <f>H25</f>
        <v>0</v>
      </c>
      <c r="I37" s="442">
        <f>I25</f>
        <v>1</v>
      </c>
      <c r="J37" s="442">
        <f>J25</f>
        <v>7.4491583404762904E-2</v>
      </c>
      <c r="K37" s="442">
        <f>K25</f>
        <v>4.4161101816983732E-2</v>
      </c>
      <c r="L37" s="170"/>
      <c r="M37" s="179"/>
    </row>
    <row r="38" spans="2:13" ht="13.8">
      <c r="B38" s="251">
        <f t="shared" si="0"/>
        <v>30</v>
      </c>
      <c r="C38" s="384"/>
      <c r="D38" s="176" t="s">
        <v>503</v>
      </c>
      <c r="E38" s="176"/>
      <c r="F38" s="175"/>
      <c r="G38" s="175"/>
      <c r="H38" s="175">
        <f>H35*H37</f>
        <v>0</v>
      </c>
      <c r="I38" s="443">
        <f>I35*I37</f>
        <v>0</v>
      </c>
      <c r="J38" s="175">
        <f>J35*J37</f>
        <v>-7015171.7164086429</v>
      </c>
      <c r="K38" s="443">
        <f>K35*K37</f>
        <v>0</v>
      </c>
      <c r="L38" s="510">
        <f>SUM(H38:K38)</f>
        <v>-7015171.7164086429</v>
      </c>
      <c r="M38" s="170"/>
    </row>
    <row r="39" spans="2:13" ht="13.8">
      <c r="B39" s="251">
        <f t="shared" si="0"/>
        <v>31</v>
      </c>
      <c r="C39" s="384"/>
      <c r="D39" s="176"/>
      <c r="E39" s="176"/>
      <c r="F39" s="175"/>
      <c r="G39" s="175"/>
      <c r="H39" s="175"/>
      <c r="I39" s="175"/>
      <c r="J39" s="175"/>
      <c r="K39" s="175"/>
      <c r="L39" s="175"/>
      <c r="M39" s="170"/>
    </row>
    <row r="40" spans="2:13" ht="13.8">
      <c r="B40" s="251">
        <f t="shared" si="0"/>
        <v>32</v>
      </c>
      <c r="C40" s="384"/>
      <c r="D40" s="176"/>
      <c r="E40" s="176"/>
      <c r="F40" s="175"/>
      <c r="G40" s="175"/>
      <c r="H40" s="751"/>
      <c r="I40" s="170"/>
      <c r="J40" s="175"/>
      <c r="K40" s="175"/>
      <c r="L40" s="175"/>
      <c r="M40" s="170"/>
    </row>
    <row r="41" spans="2:13" ht="13.8">
      <c r="B41" s="251">
        <f t="shared" si="0"/>
        <v>33</v>
      </c>
      <c r="C41" s="387">
        <v>283</v>
      </c>
      <c r="D41" s="388" t="s">
        <v>638</v>
      </c>
      <c r="E41" s="389">
        <f>-Inputs!D177</f>
        <v>-930066</v>
      </c>
      <c r="F41" s="389">
        <f>-Inputs!D178</f>
        <v>-1012588</v>
      </c>
      <c r="G41" s="790">
        <f t="shared" ref="G41:G46" si="6">(E41+F41)/2</f>
        <v>-971327</v>
      </c>
      <c r="H41" s="389">
        <f>+G41</f>
        <v>-971327</v>
      </c>
      <c r="I41" s="389"/>
      <c r="J41" s="389"/>
      <c r="K41" s="389"/>
      <c r="L41" s="250"/>
      <c r="M41" s="388" t="s">
        <v>706</v>
      </c>
    </row>
    <row r="42" spans="2:13" ht="13.8">
      <c r="B42" s="251">
        <f t="shared" si="0"/>
        <v>34</v>
      </c>
      <c r="C42" s="387">
        <v>283</v>
      </c>
      <c r="D42" s="388" t="s">
        <v>708</v>
      </c>
      <c r="E42" s="389">
        <f>-Inputs!D179</f>
        <v>-9354853</v>
      </c>
      <c r="F42" s="389">
        <f>-Inputs!D180</f>
        <v>-9421320</v>
      </c>
      <c r="G42" s="790">
        <f t="shared" si="6"/>
        <v>-9388086.5</v>
      </c>
      <c r="H42" s="389">
        <f t="shared" ref="H42:H43" si="7">+G42</f>
        <v>-9388086.5</v>
      </c>
      <c r="I42" s="389"/>
      <c r="J42" s="389"/>
      <c r="K42" s="389"/>
      <c r="L42" s="250"/>
      <c r="M42" s="388" t="s">
        <v>707</v>
      </c>
    </row>
    <row r="43" spans="2:13" ht="13.8">
      <c r="B43" s="251">
        <f t="shared" si="0"/>
        <v>35</v>
      </c>
      <c r="C43" s="387">
        <v>283</v>
      </c>
      <c r="D43" s="388" t="s">
        <v>643</v>
      </c>
      <c r="E43" s="389">
        <f>-Inputs!D181</f>
        <v>-6478535</v>
      </c>
      <c r="F43" s="389">
        <f>-Inputs!D182</f>
        <v>-6681657</v>
      </c>
      <c r="G43" s="790">
        <f t="shared" si="6"/>
        <v>-6580096</v>
      </c>
      <c r="H43" s="389">
        <f t="shared" si="7"/>
        <v>-6580096</v>
      </c>
      <c r="I43" s="389"/>
      <c r="J43" s="389"/>
      <c r="K43" s="389"/>
      <c r="L43" s="250"/>
      <c r="M43" s="388" t="s">
        <v>642</v>
      </c>
    </row>
    <row r="44" spans="2:13" ht="13.8">
      <c r="B44" s="251">
        <f t="shared" si="0"/>
        <v>36</v>
      </c>
      <c r="C44" s="387"/>
      <c r="D44" s="388"/>
      <c r="E44" s="389"/>
      <c r="F44" s="389"/>
      <c r="G44" s="790">
        <f t="shared" si="6"/>
        <v>0</v>
      </c>
      <c r="H44" s="389"/>
      <c r="I44" s="389"/>
      <c r="J44" s="389"/>
      <c r="K44" s="389"/>
      <c r="L44" s="250"/>
      <c r="M44" s="388"/>
    </row>
    <row r="45" spans="2:13" ht="13.8">
      <c r="B45" s="251">
        <f t="shared" si="0"/>
        <v>37</v>
      </c>
      <c r="C45" s="387"/>
      <c r="D45" s="388"/>
      <c r="E45" s="389"/>
      <c r="F45" s="389"/>
      <c r="G45" s="790">
        <f t="shared" si="6"/>
        <v>0</v>
      </c>
      <c r="H45" s="389"/>
      <c r="I45" s="389"/>
      <c r="J45" s="389"/>
      <c r="K45" s="389"/>
      <c r="L45" s="250"/>
      <c r="M45" s="388"/>
    </row>
    <row r="46" spans="2:13" ht="13.8">
      <c r="B46" s="251">
        <f t="shared" si="0"/>
        <v>38</v>
      </c>
      <c r="C46" s="387"/>
      <c r="D46" s="388"/>
      <c r="E46" s="389"/>
      <c r="F46" s="389"/>
      <c r="G46" s="790">
        <f t="shared" si="6"/>
        <v>0</v>
      </c>
      <c r="H46" s="389"/>
      <c r="I46" s="389"/>
      <c r="J46" s="389"/>
      <c r="K46" s="389"/>
      <c r="L46" s="250"/>
      <c r="M46" s="388"/>
    </row>
    <row r="47" spans="2:13" ht="13.8">
      <c r="B47" s="251">
        <f t="shared" si="0"/>
        <v>39</v>
      </c>
      <c r="C47" s="174"/>
      <c r="D47" s="170"/>
      <c r="E47" s="170"/>
      <c r="F47" s="175"/>
      <c r="G47" s="175"/>
      <c r="H47" s="175"/>
      <c r="I47" s="175"/>
      <c r="J47" s="175"/>
      <c r="K47" s="175"/>
      <c r="L47" s="175"/>
      <c r="M47" s="170"/>
    </row>
    <row r="48" spans="2:13" ht="13.8">
      <c r="B48" s="251">
        <f t="shared" si="0"/>
        <v>40</v>
      </c>
      <c r="C48" s="174"/>
      <c r="D48" s="176" t="s">
        <v>492</v>
      </c>
      <c r="E48" s="175">
        <f t="shared" ref="E48:F48" si="8">SUM(E41:E46)</f>
        <v>-16763454</v>
      </c>
      <c r="F48" s="175">
        <f t="shared" si="8"/>
        <v>-17115565</v>
      </c>
      <c r="G48" s="175">
        <f>SUM(G41:G46)</f>
        <v>-16939509.5</v>
      </c>
      <c r="H48" s="175">
        <f t="shared" ref="H48:K48" si="9">SUM(H41:H46)</f>
        <v>-16939509.5</v>
      </c>
      <c r="I48" s="175">
        <f t="shared" si="9"/>
        <v>0</v>
      </c>
      <c r="J48" s="175">
        <f t="shared" si="9"/>
        <v>0</v>
      </c>
      <c r="K48" s="175">
        <f t="shared" si="9"/>
        <v>0</v>
      </c>
      <c r="L48" s="175"/>
      <c r="M48" s="170"/>
    </row>
    <row r="49" spans="2:13" ht="56.25" customHeight="1">
      <c r="B49" s="251">
        <f t="shared" si="0"/>
        <v>41</v>
      </c>
      <c r="C49" s="174"/>
      <c r="D49" s="731" t="s">
        <v>1590</v>
      </c>
      <c r="E49" s="232">
        <f>-Inputs!D175</f>
        <v>-16763454</v>
      </c>
      <c r="F49" s="232">
        <f>-Inputs!D176</f>
        <v>-17115565</v>
      </c>
      <c r="G49" s="232"/>
      <c r="H49" s="175"/>
      <c r="I49" s="443"/>
      <c r="J49" s="443"/>
      <c r="K49" s="443"/>
      <c r="L49" s="175"/>
      <c r="M49" s="395"/>
    </row>
    <row r="50" spans="2:13" ht="13.8">
      <c r="B50" s="251">
        <f t="shared" si="0"/>
        <v>42</v>
      </c>
      <c r="C50" s="174"/>
      <c r="D50" s="176" t="s">
        <v>41</v>
      </c>
      <c r="E50" s="176"/>
      <c r="F50" s="177"/>
      <c r="G50" s="177"/>
      <c r="H50" s="442">
        <f>H37</f>
        <v>0</v>
      </c>
      <c r="I50" s="442">
        <f>I25</f>
        <v>1</v>
      </c>
      <c r="J50" s="442">
        <f>J37</f>
        <v>7.4491583404762904E-2</v>
      </c>
      <c r="K50" s="442">
        <f>K37</f>
        <v>4.4161101816983732E-2</v>
      </c>
      <c r="L50" s="170"/>
      <c r="M50" s="170"/>
    </row>
    <row r="51" spans="2:13" ht="13.8">
      <c r="B51" s="251">
        <f t="shared" si="0"/>
        <v>43</v>
      </c>
      <c r="C51" s="168"/>
      <c r="D51" s="176" t="s">
        <v>503</v>
      </c>
      <c r="E51" s="176"/>
      <c r="F51" s="175"/>
      <c r="G51" s="175"/>
      <c r="H51" s="443">
        <f>H48*H50</f>
        <v>0</v>
      </c>
      <c r="I51" s="443">
        <f>I48*I50</f>
        <v>0</v>
      </c>
      <c r="J51" s="443">
        <f>J48*J50</f>
        <v>0</v>
      </c>
      <c r="K51" s="443">
        <f>K48*K50</f>
        <v>0</v>
      </c>
      <c r="L51" s="444">
        <f>SUM(H51:K51)</f>
        <v>0</v>
      </c>
      <c r="M51" s="170"/>
    </row>
    <row r="52" spans="2:13" ht="14.4" thickBot="1">
      <c r="B52" s="251">
        <f t="shared" si="0"/>
        <v>44</v>
      </c>
      <c r="C52" s="168"/>
      <c r="D52" s="176"/>
      <c r="E52" s="176"/>
      <c r="F52" s="175"/>
      <c r="G52" s="175"/>
      <c r="H52" s="175"/>
      <c r="I52" s="175"/>
      <c r="J52" s="175"/>
      <c r="K52" s="175"/>
      <c r="L52" s="175"/>
      <c r="M52" s="170"/>
    </row>
    <row r="53" spans="2:13" ht="14.4" thickBot="1">
      <c r="B53" s="251">
        <f t="shared" si="0"/>
        <v>45</v>
      </c>
      <c r="C53" s="613"/>
      <c r="D53" s="176" t="s">
        <v>1435</v>
      </c>
      <c r="E53" s="176"/>
      <c r="F53" s="175"/>
      <c r="G53" s="175"/>
      <c r="H53" s="175"/>
      <c r="I53" s="175"/>
      <c r="J53" s="175"/>
      <c r="K53" s="175"/>
      <c r="L53" s="511">
        <f>L26+L38+L51</f>
        <v>-6737006.4785053264</v>
      </c>
      <c r="M53" s="170" t="s">
        <v>176</v>
      </c>
    </row>
    <row r="54" spans="2:13" ht="13.8">
      <c r="B54" s="174"/>
      <c r="C54" s="613"/>
      <c r="D54" s="176"/>
      <c r="E54" s="176"/>
      <c r="F54" s="175"/>
      <c r="G54" s="175"/>
      <c r="H54" s="175"/>
      <c r="I54" s="175"/>
      <c r="J54" s="175"/>
      <c r="K54" s="175"/>
      <c r="L54" s="175"/>
      <c r="M54" s="170"/>
    </row>
    <row r="55" spans="2:13" ht="16.8">
      <c r="B55" s="174"/>
      <c r="C55" s="385"/>
      <c r="D55" s="259"/>
      <c r="E55" s="259"/>
      <c r="F55" s="260"/>
      <c r="G55" s="260"/>
      <c r="H55" s="260"/>
      <c r="I55" s="260"/>
      <c r="J55" s="260"/>
      <c r="K55" s="260"/>
      <c r="L55" s="260"/>
      <c r="M55" s="261"/>
    </row>
    <row r="56" spans="2:13" ht="16.8">
      <c r="B56" s="174"/>
      <c r="C56" s="385"/>
      <c r="D56" s="259"/>
      <c r="E56" s="259"/>
      <c r="F56" s="260"/>
      <c r="G56" s="260"/>
      <c r="H56" s="260"/>
      <c r="I56" s="260"/>
      <c r="J56" s="260"/>
      <c r="K56" s="260"/>
      <c r="L56" s="260"/>
      <c r="M56" s="261"/>
    </row>
    <row r="57" spans="2:13" ht="13.8">
      <c r="B57" s="168"/>
      <c r="C57" s="386"/>
      <c r="D57" s="259"/>
      <c r="E57" s="259"/>
      <c r="F57" s="261"/>
      <c r="G57" s="261"/>
      <c r="H57" s="262"/>
      <c r="I57" s="263"/>
      <c r="J57" s="262"/>
      <c r="K57" s="262"/>
      <c r="L57" s="262"/>
      <c r="M57" s="261"/>
    </row>
    <row r="58" spans="2:13" ht="13.8">
      <c r="B58" s="953" t="s">
        <v>410</v>
      </c>
      <c r="C58" s="953"/>
      <c r="D58" s="953"/>
      <c r="E58" s="953"/>
      <c r="F58" s="953"/>
      <c r="G58" s="953"/>
      <c r="H58" s="953"/>
      <c r="I58" s="953"/>
      <c r="J58" s="953"/>
      <c r="K58" s="953"/>
      <c r="L58" s="953"/>
      <c r="M58" s="953"/>
    </row>
    <row r="59" spans="2:13" ht="13.8">
      <c r="B59" s="943" t="s">
        <v>504</v>
      </c>
      <c r="C59" s="943"/>
      <c r="D59" s="943"/>
      <c r="E59" s="943"/>
      <c r="F59" s="943"/>
      <c r="G59" s="943"/>
      <c r="H59" s="943"/>
      <c r="I59" s="943"/>
      <c r="J59" s="943"/>
      <c r="K59" s="943"/>
      <c r="L59" s="943"/>
      <c r="M59" s="943"/>
    </row>
  </sheetData>
  <mergeCells count="13">
    <mergeCell ref="B59:M59"/>
    <mergeCell ref="B1:M1"/>
    <mergeCell ref="B2:M2"/>
    <mergeCell ref="H5:H7"/>
    <mergeCell ref="I5:I7"/>
    <mergeCell ref="B58:M58"/>
    <mergeCell ref="E5:E7"/>
    <mergeCell ref="F5:F7"/>
    <mergeCell ref="G5:G7"/>
    <mergeCell ref="J5:J7"/>
    <mergeCell ref="K5:K7"/>
    <mergeCell ref="L5:L7"/>
    <mergeCell ref="M5:M7"/>
  </mergeCells>
  <phoneticPr fontId="41" type="noConversion"/>
  <printOptions horizontalCentered="1" verticalCentered="1"/>
  <pageMargins left="0.7" right="0.7" top="0.75" bottom="0.75" header="0.3" footer="0.3"/>
  <pageSetup scale="40" orientation="landscape" r:id="rId1"/>
  <headerFooter>
    <oddHeader>&amp;C&amp;"Arial,Bold"ADDENDUM 27 TO ATTACHMENT H, Page &amp;P of &amp;N
NorthWestern Corporation (South Dakota)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R63"/>
  <sheetViews>
    <sheetView zoomScale="60" zoomScaleNormal="60" workbookViewId="0"/>
  </sheetViews>
  <sheetFormatPr defaultRowHeight="13.2"/>
  <cols>
    <col min="1" max="1" width="2" style="791" customWidth="1"/>
    <col min="2" max="2" width="5.6640625" style="791" customWidth="1"/>
    <col min="3" max="3" width="8.33203125" style="804" customWidth="1"/>
    <col min="4" max="4" width="51.33203125" style="791" customWidth="1"/>
    <col min="5" max="5" width="22.88671875" style="791" customWidth="1"/>
    <col min="6" max="6" width="24.44140625" style="791" customWidth="1"/>
    <col min="7" max="7" width="21.109375" style="791" customWidth="1"/>
    <col min="8" max="9" width="15.6640625" style="791" customWidth="1"/>
    <col min="10" max="10" width="16" style="791" customWidth="1"/>
    <col min="11" max="12" width="19" style="791" customWidth="1"/>
    <col min="13" max="13" width="14.44140625" style="791" customWidth="1"/>
    <col min="14" max="14" width="14.33203125" style="791" customWidth="1"/>
    <col min="15" max="15" width="12.88671875" style="791" customWidth="1"/>
    <col min="16" max="16" width="11.88671875" style="791" customWidth="1"/>
    <col min="17" max="17" width="17.109375" style="791" customWidth="1"/>
    <col min="18" max="18" width="25.109375" style="791" bestFit="1" customWidth="1"/>
    <col min="19" max="256" width="9.109375" style="791"/>
    <col min="257" max="257" width="2" style="791" customWidth="1"/>
    <col min="258" max="258" width="5.6640625" style="791" customWidth="1"/>
    <col min="259" max="259" width="8.33203125" style="791" customWidth="1"/>
    <col min="260" max="260" width="51.33203125" style="791" customWidth="1"/>
    <col min="261" max="261" width="22.88671875" style="791" customWidth="1"/>
    <col min="262" max="262" width="24.44140625" style="791" customWidth="1"/>
    <col min="263" max="263" width="29.88671875" style="791" customWidth="1"/>
    <col min="264" max="265" width="22.88671875" style="791" customWidth="1"/>
    <col min="266" max="266" width="20.44140625" style="791" customWidth="1"/>
    <col min="267" max="268" width="19" style="791" customWidth="1"/>
    <col min="269" max="269" width="16.44140625" style="791" customWidth="1"/>
    <col min="270" max="271" width="16.5546875" style="791" customWidth="1"/>
    <col min="272" max="272" width="12.6640625" style="791" customWidth="1"/>
    <col min="273" max="273" width="17.109375" style="791" customWidth="1"/>
    <col min="274" max="274" width="25.109375" style="791" bestFit="1" customWidth="1"/>
    <col min="275" max="512" width="9.109375" style="791"/>
    <col min="513" max="513" width="2" style="791" customWidth="1"/>
    <col min="514" max="514" width="5.6640625" style="791" customWidth="1"/>
    <col min="515" max="515" width="8.33203125" style="791" customWidth="1"/>
    <col min="516" max="516" width="51.33203125" style="791" customWidth="1"/>
    <col min="517" max="517" width="22.88671875" style="791" customWidth="1"/>
    <col min="518" max="518" width="24.44140625" style="791" customWidth="1"/>
    <col min="519" max="519" width="29.88671875" style="791" customWidth="1"/>
    <col min="520" max="521" width="22.88671875" style="791" customWidth="1"/>
    <col min="522" max="522" width="20.44140625" style="791" customWidth="1"/>
    <col min="523" max="524" width="19" style="791" customWidth="1"/>
    <col min="525" max="525" width="16.44140625" style="791" customWidth="1"/>
    <col min="526" max="527" width="16.5546875" style="791" customWidth="1"/>
    <col min="528" max="528" width="12.6640625" style="791" customWidth="1"/>
    <col min="529" max="529" width="17.109375" style="791" customWidth="1"/>
    <col min="530" max="530" width="25.109375" style="791" bestFit="1" customWidth="1"/>
    <col min="531" max="768" width="9.109375" style="791"/>
    <col min="769" max="769" width="2" style="791" customWidth="1"/>
    <col min="770" max="770" width="5.6640625" style="791" customWidth="1"/>
    <col min="771" max="771" width="8.33203125" style="791" customWidth="1"/>
    <col min="772" max="772" width="51.33203125" style="791" customWidth="1"/>
    <col min="773" max="773" width="22.88671875" style="791" customWidth="1"/>
    <col min="774" max="774" width="24.44140625" style="791" customWidth="1"/>
    <col min="775" max="775" width="29.88671875" style="791" customWidth="1"/>
    <col min="776" max="777" width="22.88671875" style="791" customWidth="1"/>
    <col min="778" max="778" width="20.44140625" style="791" customWidth="1"/>
    <col min="779" max="780" width="19" style="791" customWidth="1"/>
    <col min="781" max="781" width="16.44140625" style="791" customWidth="1"/>
    <col min="782" max="783" width="16.5546875" style="791" customWidth="1"/>
    <col min="784" max="784" width="12.6640625" style="791" customWidth="1"/>
    <col min="785" max="785" width="17.109375" style="791" customWidth="1"/>
    <col min="786" max="786" width="25.109375" style="791" bestFit="1" customWidth="1"/>
    <col min="787" max="1024" width="9.109375" style="791"/>
    <col min="1025" max="1025" width="2" style="791" customWidth="1"/>
    <col min="1026" max="1026" width="5.6640625" style="791" customWidth="1"/>
    <col min="1027" max="1027" width="8.33203125" style="791" customWidth="1"/>
    <col min="1028" max="1028" width="51.33203125" style="791" customWidth="1"/>
    <col min="1029" max="1029" width="22.88671875" style="791" customWidth="1"/>
    <col min="1030" max="1030" width="24.44140625" style="791" customWidth="1"/>
    <col min="1031" max="1031" width="29.88671875" style="791" customWidth="1"/>
    <col min="1032" max="1033" width="22.88671875" style="791" customWidth="1"/>
    <col min="1034" max="1034" width="20.44140625" style="791" customWidth="1"/>
    <col min="1035" max="1036" width="19" style="791" customWidth="1"/>
    <col min="1037" max="1037" width="16.44140625" style="791" customWidth="1"/>
    <col min="1038" max="1039" width="16.5546875" style="791" customWidth="1"/>
    <col min="1040" max="1040" width="12.6640625" style="791" customWidth="1"/>
    <col min="1041" max="1041" width="17.109375" style="791" customWidth="1"/>
    <col min="1042" max="1042" width="25.109375" style="791" bestFit="1" customWidth="1"/>
    <col min="1043" max="1280" width="9.109375" style="791"/>
    <col min="1281" max="1281" width="2" style="791" customWidth="1"/>
    <col min="1282" max="1282" width="5.6640625" style="791" customWidth="1"/>
    <col min="1283" max="1283" width="8.33203125" style="791" customWidth="1"/>
    <col min="1284" max="1284" width="51.33203125" style="791" customWidth="1"/>
    <col min="1285" max="1285" width="22.88671875" style="791" customWidth="1"/>
    <col min="1286" max="1286" width="24.44140625" style="791" customWidth="1"/>
    <col min="1287" max="1287" width="29.88671875" style="791" customWidth="1"/>
    <col min="1288" max="1289" width="22.88671875" style="791" customWidth="1"/>
    <col min="1290" max="1290" width="20.44140625" style="791" customWidth="1"/>
    <col min="1291" max="1292" width="19" style="791" customWidth="1"/>
    <col min="1293" max="1293" width="16.44140625" style="791" customWidth="1"/>
    <col min="1294" max="1295" width="16.5546875" style="791" customWidth="1"/>
    <col min="1296" max="1296" width="12.6640625" style="791" customWidth="1"/>
    <col min="1297" max="1297" width="17.109375" style="791" customWidth="1"/>
    <col min="1298" max="1298" width="25.109375" style="791" bestFit="1" customWidth="1"/>
    <col min="1299" max="1536" width="9.109375" style="791"/>
    <col min="1537" max="1537" width="2" style="791" customWidth="1"/>
    <col min="1538" max="1538" width="5.6640625" style="791" customWidth="1"/>
    <col min="1539" max="1539" width="8.33203125" style="791" customWidth="1"/>
    <col min="1540" max="1540" width="51.33203125" style="791" customWidth="1"/>
    <col min="1541" max="1541" width="22.88671875" style="791" customWidth="1"/>
    <col min="1542" max="1542" width="24.44140625" style="791" customWidth="1"/>
    <col min="1543" max="1543" width="29.88671875" style="791" customWidth="1"/>
    <col min="1544" max="1545" width="22.88671875" style="791" customWidth="1"/>
    <col min="1546" max="1546" width="20.44140625" style="791" customWidth="1"/>
    <col min="1547" max="1548" width="19" style="791" customWidth="1"/>
    <col min="1549" max="1549" width="16.44140625" style="791" customWidth="1"/>
    <col min="1550" max="1551" width="16.5546875" style="791" customWidth="1"/>
    <col min="1552" max="1552" width="12.6640625" style="791" customWidth="1"/>
    <col min="1553" max="1553" width="17.109375" style="791" customWidth="1"/>
    <col min="1554" max="1554" width="25.109375" style="791" bestFit="1" customWidth="1"/>
    <col min="1555" max="1792" width="9.109375" style="791"/>
    <col min="1793" max="1793" width="2" style="791" customWidth="1"/>
    <col min="1794" max="1794" width="5.6640625" style="791" customWidth="1"/>
    <col min="1795" max="1795" width="8.33203125" style="791" customWidth="1"/>
    <col min="1796" max="1796" width="51.33203125" style="791" customWidth="1"/>
    <col min="1797" max="1797" width="22.88671875" style="791" customWidth="1"/>
    <col min="1798" max="1798" width="24.44140625" style="791" customWidth="1"/>
    <col min="1799" max="1799" width="29.88671875" style="791" customWidth="1"/>
    <col min="1800" max="1801" width="22.88671875" style="791" customWidth="1"/>
    <col min="1802" max="1802" width="20.44140625" style="791" customWidth="1"/>
    <col min="1803" max="1804" width="19" style="791" customWidth="1"/>
    <col min="1805" max="1805" width="16.44140625" style="791" customWidth="1"/>
    <col min="1806" max="1807" width="16.5546875" style="791" customWidth="1"/>
    <col min="1808" max="1808" width="12.6640625" style="791" customWidth="1"/>
    <col min="1809" max="1809" width="17.109375" style="791" customWidth="1"/>
    <col min="1810" max="1810" width="25.109375" style="791" bestFit="1" customWidth="1"/>
    <col min="1811" max="2048" width="9.109375" style="791"/>
    <col min="2049" max="2049" width="2" style="791" customWidth="1"/>
    <col min="2050" max="2050" width="5.6640625" style="791" customWidth="1"/>
    <col min="2051" max="2051" width="8.33203125" style="791" customWidth="1"/>
    <col min="2052" max="2052" width="51.33203125" style="791" customWidth="1"/>
    <col min="2053" max="2053" width="22.88671875" style="791" customWidth="1"/>
    <col min="2054" max="2054" width="24.44140625" style="791" customWidth="1"/>
    <col min="2055" max="2055" width="29.88671875" style="791" customWidth="1"/>
    <col min="2056" max="2057" width="22.88671875" style="791" customWidth="1"/>
    <col min="2058" max="2058" width="20.44140625" style="791" customWidth="1"/>
    <col min="2059" max="2060" width="19" style="791" customWidth="1"/>
    <col min="2061" max="2061" width="16.44140625" style="791" customWidth="1"/>
    <col min="2062" max="2063" width="16.5546875" style="791" customWidth="1"/>
    <col min="2064" max="2064" width="12.6640625" style="791" customWidth="1"/>
    <col min="2065" max="2065" width="17.109375" style="791" customWidth="1"/>
    <col min="2066" max="2066" width="25.109375" style="791" bestFit="1" customWidth="1"/>
    <col min="2067" max="2304" width="9.109375" style="791"/>
    <col min="2305" max="2305" width="2" style="791" customWidth="1"/>
    <col min="2306" max="2306" width="5.6640625" style="791" customWidth="1"/>
    <col min="2307" max="2307" width="8.33203125" style="791" customWidth="1"/>
    <col min="2308" max="2308" width="51.33203125" style="791" customWidth="1"/>
    <col min="2309" max="2309" width="22.88671875" style="791" customWidth="1"/>
    <col min="2310" max="2310" width="24.44140625" style="791" customWidth="1"/>
    <col min="2311" max="2311" width="29.88671875" style="791" customWidth="1"/>
    <col min="2312" max="2313" width="22.88671875" style="791" customWidth="1"/>
    <col min="2314" max="2314" width="20.44140625" style="791" customWidth="1"/>
    <col min="2315" max="2316" width="19" style="791" customWidth="1"/>
    <col min="2317" max="2317" width="16.44140625" style="791" customWidth="1"/>
    <col min="2318" max="2319" width="16.5546875" style="791" customWidth="1"/>
    <col min="2320" max="2320" width="12.6640625" style="791" customWidth="1"/>
    <col min="2321" max="2321" width="17.109375" style="791" customWidth="1"/>
    <col min="2322" max="2322" width="25.109375" style="791" bestFit="1" customWidth="1"/>
    <col min="2323" max="2560" width="9.109375" style="791"/>
    <col min="2561" max="2561" width="2" style="791" customWidth="1"/>
    <col min="2562" max="2562" width="5.6640625" style="791" customWidth="1"/>
    <col min="2563" max="2563" width="8.33203125" style="791" customWidth="1"/>
    <col min="2564" max="2564" width="51.33203125" style="791" customWidth="1"/>
    <col min="2565" max="2565" width="22.88671875" style="791" customWidth="1"/>
    <col min="2566" max="2566" width="24.44140625" style="791" customWidth="1"/>
    <col min="2567" max="2567" width="29.88671875" style="791" customWidth="1"/>
    <col min="2568" max="2569" width="22.88671875" style="791" customWidth="1"/>
    <col min="2570" max="2570" width="20.44140625" style="791" customWidth="1"/>
    <col min="2571" max="2572" width="19" style="791" customWidth="1"/>
    <col min="2573" max="2573" width="16.44140625" style="791" customWidth="1"/>
    <col min="2574" max="2575" width="16.5546875" style="791" customWidth="1"/>
    <col min="2576" max="2576" width="12.6640625" style="791" customWidth="1"/>
    <col min="2577" max="2577" width="17.109375" style="791" customWidth="1"/>
    <col min="2578" max="2578" width="25.109375" style="791" bestFit="1" customWidth="1"/>
    <col min="2579" max="2816" width="9.109375" style="791"/>
    <col min="2817" max="2817" width="2" style="791" customWidth="1"/>
    <col min="2818" max="2818" width="5.6640625" style="791" customWidth="1"/>
    <col min="2819" max="2819" width="8.33203125" style="791" customWidth="1"/>
    <col min="2820" max="2820" width="51.33203125" style="791" customWidth="1"/>
    <col min="2821" max="2821" width="22.88671875" style="791" customWidth="1"/>
    <col min="2822" max="2822" width="24.44140625" style="791" customWidth="1"/>
    <col min="2823" max="2823" width="29.88671875" style="791" customWidth="1"/>
    <col min="2824" max="2825" width="22.88671875" style="791" customWidth="1"/>
    <col min="2826" max="2826" width="20.44140625" style="791" customWidth="1"/>
    <col min="2827" max="2828" width="19" style="791" customWidth="1"/>
    <col min="2829" max="2829" width="16.44140625" style="791" customWidth="1"/>
    <col min="2830" max="2831" width="16.5546875" style="791" customWidth="1"/>
    <col min="2832" max="2832" width="12.6640625" style="791" customWidth="1"/>
    <col min="2833" max="2833" width="17.109375" style="791" customWidth="1"/>
    <col min="2834" max="2834" width="25.109375" style="791" bestFit="1" customWidth="1"/>
    <col min="2835" max="3072" width="9.109375" style="791"/>
    <col min="3073" max="3073" width="2" style="791" customWidth="1"/>
    <col min="3074" max="3074" width="5.6640625" style="791" customWidth="1"/>
    <col min="3075" max="3075" width="8.33203125" style="791" customWidth="1"/>
    <col min="3076" max="3076" width="51.33203125" style="791" customWidth="1"/>
    <col min="3077" max="3077" width="22.88671875" style="791" customWidth="1"/>
    <col min="3078" max="3078" width="24.44140625" style="791" customWidth="1"/>
    <col min="3079" max="3079" width="29.88671875" style="791" customWidth="1"/>
    <col min="3080" max="3081" width="22.88671875" style="791" customWidth="1"/>
    <col min="3082" max="3082" width="20.44140625" style="791" customWidth="1"/>
    <col min="3083" max="3084" width="19" style="791" customWidth="1"/>
    <col min="3085" max="3085" width="16.44140625" style="791" customWidth="1"/>
    <col min="3086" max="3087" width="16.5546875" style="791" customWidth="1"/>
    <col min="3088" max="3088" width="12.6640625" style="791" customWidth="1"/>
    <col min="3089" max="3089" width="17.109375" style="791" customWidth="1"/>
    <col min="3090" max="3090" width="25.109375" style="791" bestFit="1" customWidth="1"/>
    <col min="3091" max="3328" width="9.109375" style="791"/>
    <col min="3329" max="3329" width="2" style="791" customWidth="1"/>
    <col min="3330" max="3330" width="5.6640625" style="791" customWidth="1"/>
    <col min="3331" max="3331" width="8.33203125" style="791" customWidth="1"/>
    <col min="3332" max="3332" width="51.33203125" style="791" customWidth="1"/>
    <col min="3333" max="3333" width="22.88671875" style="791" customWidth="1"/>
    <col min="3334" max="3334" width="24.44140625" style="791" customWidth="1"/>
    <col min="3335" max="3335" width="29.88671875" style="791" customWidth="1"/>
    <col min="3336" max="3337" width="22.88671875" style="791" customWidth="1"/>
    <col min="3338" max="3338" width="20.44140625" style="791" customWidth="1"/>
    <col min="3339" max="3340" width="19" style="791" customWidth="1"/>
    <col min="3341" max="3341" width="16.44140625" style="791" customWidth="1"/>
    <col min="3342" max="3343" width="16.5546875" style="791" customWidth="1"/>
    <col min="3344" max="3344" width="12.6640625" style="791" customWidth="1"/>
    <col min="3345" max="3345" width="17.109375" style="791" customWidth="1"/>
    <col min="3346" max="3346" width="25.109375" style="791" bestFit="1" customWidth="1"/>
    <col min="3347" max="3584" width="9.109375" style="791"/>
    <col min="3585" max="3585" width="2" style="791" customWidth="1"/>
    <col min="3586" max="3586" width="5.6640625" style="791" customWidth="1"/>
    <col min="3587" max="3587" width="8.33203125" style="791" customWidth="1"/>
    <col min="3588" max="3588" width="51.33203125" style="791" customWidth="1"/>
    <col min="3589" max="3589" width="22.88671875" style="791" customWidth="1"/>
    <col min="3590" max="3590" width="24.44140625" style="791" customWidth="1"/>
    <col min="3591" max="3591" width="29.88671875" style="791" customWidth="1"/>
    <col min="3592" max="3593" width="22.88671875" style="791" customWidth="1"/>
    <col min="3594" max="3594" width="20.44140625" style="791" customWidth="1"/>
    <col min="3595" max="3596" width="19" style="791" customWidth="1"/>
    <col min="3597" max="3597" width="16.44140625" style="791" customWidth="1"/>
    <col min="3598" max="3599" width="16.5546875" style="791" customWidth="1"/>
    <col min="3600" max="3600" width="12.6640625" style="791" customWidth="1"/>
    <col min="3601" max="3601" width="17.109375" style="791" customWidth="1"/>
    <col min="3602" max="3602" width="25.109375" style="791" bestFit="1" customWidth="1"/>
    <col min="3603" max="3840" width="9.109375" style="791"/>
    <col min="3841" max="3841" width="2" style="791" customWidth="1"/>
    <col min="3842" max="3842" width="5.6640625" style="791" customWidth="1"/>
    <col min="3843" max="3843" width="8.33203125" style="791" customWidth="1"/>
    <col min="3844" max="3844" width="51.33203125" style="791" customWidth="1"/>
    <col min="3845" max="3845" width="22.88671875" style="791" customWidth="1"/>
    <col min="3846" max="3846" width="24.44140625" style="791" customWidth="1"/>
    <col min="3847" max="3847" width="29.88671875" style="791" customWidth="1"/>
    <col min="3848" max="3849" width="22.88671875" style="791" customWidth="1"/>
    <col min="3850" max="3850" width="20.44140625" style="791" customWidth="1"/>
    <col min="3851" max="3852" width="19" style="791" customWidth="1"/>
    <col min="3853" max="3853" width="16.44140625" style="791" customWidth="1"/>
    <col min="3854" max="3855" width="16.5546875" style="791" customWidth="1"/>
    <col min="3856" max="3856" width="12.6640625" style="791" customWidth="1"/>
    <col min="3857" max="3857" width="17.109375" style="791" customWidth="1"/>
    <col min="3858" max="3858" width="25.109375" style="791" bestFit="1" customWidth="1"/>
    <col min="3859" max="4096" width="9.109375" style="791"/>
    <col min="4097" max="4097" width="2" style="791" customWidth="1"/>
    <col min="4098" max="4098" width="5.6640625" style="791" customWidth="1"/>
    <col min="4099" max="4099" width="8.33203125" style="791" customWidth="1"/>
    <col min="4100" max="4100" width="51.33203125" style="791" customWidth="1"/>
    <col min="4101" max="4101" width="22.88671875" style="791" customWidth="1"/>
    <col min="4102" max="4102" width="24.44140625" style="791" customWidth="1"/>
    <col min="4103" max="4103" width="29.88671875" style="791" customWidth="1"/>
    <col min="4104" max="4105" width="22.88671875" style="791" customWidth="1"/>
    <col min="4106" max="4106" width="20.44140625" style="791" customWidth="1"/>
    <col min="4107" max="4108" width="19" style="791" customWidth="1"/>
    <col min="4109" max="4109" width="16.44140625" style="791" customWidth="1"/>
    <col min="4110" max="4111" width="16.5546875" style="791" customWidth="1"/>
    <col min="4112" max="4112" width="12.6640625" style="791" customWidth="1"/>
    <col min="4113" max="4113" width="17.109375" style="791" customWidth="1"/>
    <col min="4114" max="4114" width="25.109375" style="791" bestFit="1" customWidth="1"/>
    <col min="4115" max="4352" width="9.109375" style="791"/>
    <col min="4353" max="4353" width="2" style="791" customWidth="1"/>
    <col min="4354" max="4354" width="5.6640625" style="791" customWidth="1"/>
    <col min="4355" max="4355" width="8.33203125" style="791" customWidth="1"/>
    <col min="4356" max="4356" width="51.33203125" style="791" customWidth="1"/>
    <col min="4357" max="4357" width="22.88671875" style="791" customWidth="1"/>
    <col min="4358" max="4358" width="24.44140625" style="791" customWidth="1"/>
    <col min="4359" max="4359" width="29.88671875" style="791" customWidth="1"/>
    <col min="4360" max="4361" width="22.88671875" style="791" customWidth="1"/>
    <col min="4362" max="4362" width="20.44140625" style="791" customWidth="1"/>
    <col min="4363" max="4364" width="19" style="791" customWidth="1"/>
    <col min="4365" max="4365" width="16.44140625" style="791" customWidth="1"/>
    <col min="4366" max="4367" width="16.5546875" style="791" customWidth="1"/>
    <col min="4368" max="4368" width="12.6640625" style="791" customWidth="1"/>
    <col min="4369" max="4369" width="17.109375" style="791" customWidth="1"/>
    <col min="4370" max="4370" width="25.109375" style="791" bestFit="1" customWidth="1"/>
    <col min="4371" max="4608" width="9.109375" style="791"/>
    <col min="4609" max="4609" width="2" style="791" customWidth="1"/>
    <col min="4610" max="4610" width="5.6640625" style="791" customWidth="1"/>
    <col min="4611" max="4611" width="8.33203125" style="791" customWidth="1"/>
    <col min="4612" max="4612" width="51.33203125" style="791" customWidth="1"/>
    <col min="4613" max="4613" width="22.88671875" style="791" customWidth="1"/>
    <col min="4614" max="4614" width="24.44140625" style="791" customWidth="1"/>
    <col min="4615" max="4615" width="29.88671875" style="791" customWidth="1"/>
    <col min="4616" max="4617" width="22.88671875" style="791" customWidth="1"/>
    <col min="4618" max="4618" width="20.44140625" style="791" customWidth="1"/>
    <col min="4619" max="4620" width="19" style="791" customWidth="1"/>
    <col min="4621" max="4621" width="16.44140625" style="791" customWidth="1"/>
    <col min="4622" max="4623" width="16.5546875" style="791" customWidth="1"/>
    <col min="4624" max="4624" width="12.6640625" style="791" customWidth="1"/>
    <col min="4625" max="4625" width="17.109375" style="791" customWidth="1"/>
    <col min="4626" max="4626" width="25.109375" style="791" bestFit="1" customWidth="1"/>
    <col min="4627" max="4864" width="9.109375" style="791"/>
    <col min="4865" max="4865" width="2" style="791" customWidth="1"/>
    <col min="4866" max="4866" width="5.6640625" style="791" customWidth="1"/>
    <col min="4867" max="4867" width="8.33203125" style="791" customWidth="1"/>
    <col min="4868" max="4868" width="51.33203125" style="791" customWidth="1"/>
    <col min="4869" max="4869" width="22.88671875" style="791" customWidth="1"/>
    <col min="4870" max="4870" width="24.44140625" style="791" customWidth="1"/>
    <col min="4871" max="4871" width="29.88671875" style="791" customWidth="1"/>
    <col min="4872" max="4873" width="22.88671875" style="791" customWidth="1"/>
    <col min="4874" max="4874" width="20.44140625" style="791" customWidth="1"/>
    <col min="4875" max="4876" width="19" style="791" customWidth="1"/>
    <col min="4877" max="4877" width="16.44140625" style="791" customWidth="1"/>
    <col min="4878" max="4879" width="16.5546875" style="791" customWidth="1"/>
    <col min="4880" max="4880" width="12.6640625" style="791" customWidth="1"/>
    <col min="4881" max="4881" width="17.109375" style="791" customWidth="1"/>
    <col min="4882" max="4882" width="25.109375" style="791" bestFit="1" customWidth="1"/>
    <col min="4883" max="5120" width="9.109375" style="791"/>
    <col min="5121" max="5121" width="2" style="791" customWidth="1"/>
    <col min="5122" max="5122" width="5.6640625" style="791" customWidth="1"/>
    <col min="5123" max="5123" width="8.33203125" style="791" customWidth="1"/>
    <col min="5124" max="5124" width="51.33203125" style="791" customWidth="1"/>
    <col min="5125" max="5125" width="22.88671875" style="791" customWidth="1"/>
    <col min="5126" max="5126" width="24.44140625" style="791" customWidth="1"/>
    <col min="5127" max="5127" width="29.88671875" style="791" customWidth="1"/>
    <col min="5128" max="5129" width="22.88671875" style="791" customWidth="1"/>
    <col min="5130" max="5130" width="20.44140625" style="791" customWidth="1"/>
    <col min="5131" max="5132" width="19" style="791" customWidth="1"/>
    <col min="5133" max="5133" width="16.44140625" style="791" customWidth="1"/>
    <col min="5134" max="5135" width="16.5546875" style="791" customWidth="1"/>
    <col min="5136" max="5136" width="12.6640625" style="791" customWidth="1"/>
    <col min="5137" max="5137" width="17.109375" style="791" customWidth="1"/>
    <col min="5138" max="5138" width="25.109375" style="791" bestFit="1" customWidth="1"/>
    <col min="5139" max="5376" width="9.109375" style="791"/>
    <col min="5377" max="5377" width="2" style="791" customWidth="1"/>
    <col min="5378" max="5378" width="5.6640625" style="791" customWidth="1"/>
    <col min="5379" max="5379" width="8.33203125" style="791" customWidth="1"/>
    <col min="5380" max="5380" width="51.33203125" style="791" customWidth="1"/>
    <col min="5381" max="5381" width="22.88671875" style="791" customWidth="1"/>
    <col min="5382" max="5382" width="24.44140625" style="791" customWidth="1"/>
    <col min="5383" max="5383" width="29.88671875" style="791" customWidth="1"/>
    <col min="5384" max="5385" width="22.88671875" style="791" customWidth="1"/>
    <col min="5386" max="5386" width="20.44140625" style="791" customWidth="1"/>
    <col min="5387" max="5388" width="19" style="791" customWidth="1"/>
    <col min="5389" max="5389" width="16.44140625" style="791" customWidth="1"/>
    <col min="5390" max="5391" width="16.5546875" style="791" customWidth="1"/>
    <col min="5392" max="5392" width="12.6640625" style="791" customWidth="1"/>
    <col min="5393" max="5393" width="17.109375" style="791" customWidth="1"/>
    <col min="5394" max="5394" width="25.109375" style="791" bestFit="1" customWidth="1"/>
    <col min="5395" max="5632" width="9.109375" style="791"/>
    <col min="5633" max="5633" width="2" style="791" customWidth="1"/>
    <col min="5634" max="5634" width="5.6640625" style="791" customWidth="1"/>
    <col min="5635" max="5635" width="8.33203125" style="791" customWidth="1"/>
    <col min="5636" max="5636" width="51.33203125" style="791" customWidth="1"/>
    <col min="5637" max="5637" width="22.88671875" style="791" customWidth="1"/>
    <col min="5638" max="5638" width="24.44140625" style="791" customWidth="1"/>
    <col min="5639" max="5639" width="29.88671875" style="791" customWidth="1"/>
    <col min="5640" max="5641" width="22.88671875" style="791" customWidth="1"/>
    <col min="5642" max="5642" width="20.44140625" style="791" customWidth="1"/>
    <col min="5643" max="5644" width="19" style="791" customWidth="1"/>
    <col min="5645" max="5645" width="16.44140625" style="791" customWidth="1"/>
    <col min="5646" max="5647" width="16.5546875" style="791" customWidth="1"/>
    <col min="5648" max="5648" width="12.6640625" style="791" customWidth="1"/>
    <col min="5649" max="5649" width="17.109375" style="791" customWidth="1"/>
    <col min="5650" max="5650" width="25.109375" style="791" bestFit="1" customWidth="1"/>
    <col min="5651" max="5888" width="9.109375" style="791"/>
    <col min="5889" max="5889" width="2" style="791" customWidth="1"/>
    <col min="5890" max="5890" width="5.6640625" style="791" customWidth="1"/>
    <col min="5891" max="5891" width="8.33203125" style="791" customWidth="1"/>
    <col min="5892" max="5892" width="51.33203125" style="791" customWidth="1"/>
    <col min="5893" max="5893" width="22.88671875" style="791" customWidth="1"/>
    <col min="5894" max="5894" width="24.44140625" style="791" customWidth="1"/>
    <col min="5895" max="5895" width="29.88671875" style="791" customWidth="1"/>
    <col min="5896" max="5897" width="22.88671875" style="791" customWidth="1"/>
    <col min="5898" max="5898" width="20.44140625" style="791" customWidth="1"/>
    <col min="5899" max="5900" width="19" style="791" customWidth="1"/>
    <col min="5901" max="5901" width="16.44140625" style="791" customWidth="1"/>
    <col min="5902" max="5903" width="16.5546875" style="791" customWidth="1"/>
    <col min="5904" max="5904" width="12.6640625" style="791" customWidth="1"/>
    <col min="5905" max="5905" width="17.109375" style="791" customWidth="1"/>
    <col min="5906" max="5906" width="25.109375" style="791" bestFit="1" customWidth="1"/>
    <col min="5907" max="6144" width="9.109375" style="791"/>
    <col min="6145" max="6145" width="2" style="791" customWidth="1"/>
    <col min="6146" max="6146" width="5.6640625" style="791" customWidth="1"/>
    <col min="6147" max="6147" width="8.33203125" style="791" customWidth="1"/>
    <col min="6148" max="6148" width="51.33203125" style="791" customWidth="1"/>
    <col min="6149" max="6149" width="22.88671875" style="791" customWidth="1"/>
    <col min="6150" max="6150" width="24.44140625" style="791" customWidth="1"/>
    <col min="6151" max="6151" width="29.88671875" style="791" customWidth="1"/>
    <col min="6152" max="6153" width="22.88671875" style="791" customWidth="1"/>
    <col min="6154" max="6154" width="20.44140625" style="791" customWidth="1"/>
    <col min="6155" max="6156" width="19" style="791" customWidth="1"/>
    <col min="6157" max="6157" width="16.44140625" style="791" customWidth="1"/>
    <col min="6158" max="6159" width="16.5546875" style="791" customWidth="1"/>
    <col min="6160" max="6160" width="12.6640625" style="791" customWidth="1"/>
    <col min="6161" max="6161" width="17.109375" style="791" customWidth="1"/>
    <col min="6162" max="6162" width="25.109375" style="791" bestFit="1" customWidth="1"/>
    <col min="6163" max="6400" width="9.109375" style="791"/>
    <col min="6401" max="6401" width="2" style="791" customWidth="1"/>
    <col min="6402" max="6402" width="5.6640625" style="791" customWidth="1"/>
    <col min="6403" max="6403" width="8.33203125" style="791" customWidth="1"/>
    <col min="6404" max="6404" width="51.33203125" style="791" customWidth="1"/>
    <col min="6405" max="6405" width="22.88671875" style="791" customWidth="1"/>
    <col min="6406" max="6406" width="24.44140625" style="791" customWidth="1"/>
    <col min="6407" max="6407" width="29.88671875" style="791" customWidth="1"/>
    <col min="6408" max="6409" width="22.88671875" style="791" customWidth="1"/>
    <col min="6410" max="6410" width="20.44140625" style="791" customWidth="1"/>
    <col min="6411" max="6412" width="19" style="791" customWidth="1"/>
    <col min="6413" max="6413" width="16.44140625" style="791" customWidth="1"/>
    <col min="6414" max="6415" width="16.5546875" style="791" customWidth="1"/>
    <col min="6416" max="6416" width="12.6640625" style="791" customWidth="1"/>
    <col min="6417" max="6417" width="17.109375" style="791" customWidth="1"/>
    <col min="6418" max="6418" width="25.109375" style="791" bestFit="1" customWidth="1"/>
    <col min="6419" max="6656" width="9.109375" style="791"/>
    <col min="6657" max="6657" width="2" style="791" customWidth="1"/>
    <col min="6658" max="6658" width="5.6640625" style="791" customWidth="1"/>
    <col min="6659" max="6659" width="8.33203125" style="791" customWidth="1"/>
    <col min="6660" max="6660" width="51.33203125" style="791" customWidth="1"/>
    <col min="6661" max="6661" width="22.88671875" style="791" customWidth="1"/>
    <col min="6662" max="6662" width="24.44140625" style="791" customWidth="1"/>
    <col min="6663" max="6663" width="29.88671875" style="791" customWidth="1"/>
    <col min="6664" max="6665" width="22.88671875" style="791" customWidth="1"/>
    <col min="6666" max="6666" width="20.44140625" style="791" customWidth="1"/>
    <col min="6667" max="6668" width="19" style="791" customWidth="1"/>
    <col min="6669" max="6669" width="16.44140625" style="791" customWidth="1"/>
    <col min="6670" max="6671" width="16.5546875" style="791" customWidth="1"/>
    <col min="6672" max="6672" width="12.6640625" style="791" customWidth="1"/>
    <col min="6673" max="6673" width="17.109375" style="791" customWidth="1"/>
    <col min="6674" max="6674" width="25.109375" style="791" bestFit="1" customWidth="1"/>
    <col min="6675" max="6912" width="9.109375" style="791"/>
    <col min="6913" max="6913" width="2" style="791" customWidth="1"/>
    <col min="6914" max="6914" width="5.6640625" style="791" customWidth="1"/>
    <col min="6915" max="6915" width="8.33203125" style="791" customWidth="1"/>
    <col min="6916" max="6916" width="51.33203125" style="791" customWidth="1"/>
    <col min="6917" max="6917" width="22.88671875" style="791" customWidth="1"/>
    <col min="6918" max="6918" width="24.44140625" style="791" customWidth="1"/>
    <col min="6919" max="6919" width="29.88671875" style="791" customWidth="1"/>
    <col min="6920" max="6921" width="22.88671875" style="791" customWidth="1"/>
    <col min="6922" max="6922" width="20.44140625" style="791" customWidth="1"/>
    <col min="6923" max="6924" width="19" style="791" customWidth="1"/>
    <col min="6925" max="6925" width="16.44140625" style="791" customWidth="1"/>
    <col min="6926" max="6927" width="16.5546875" style="791" customWidth="1"/>
    <col min="6928" max="6928" width="12.6640625" style="791" customWidth="1"/>
    <col min="6929" max="6929" width="17.109375" style="791" customWidth="1"/>
    <col min="6930" max="6930" width="25.109375" style="791" bestFit="1" customWidth="1"/>
    <col min="6931" max="7168" width="9.109375" style="791"/>
    <col min="7169" max="7169" width="2" style="791" customWidth="1"/>
    <col min="7170" max="7170" width="5.6640625" style="791" customWidth="1"/>
    <col min="7171" max="7171" width="8.33203125" style="791" customWidth="1"/>
    <col min="7172" max="7172" width="51.33203125" style="791" customWidth="1"/>
    <col min="7173" max="7173" width="22.88671875" style="791" customWidth="1"/>
    <col min="7174" max="7174" width="24.44140625" style="791" customWidth="1"/>
    <col min="7175" max="7175" width="29.88671875" style="791" customWidth="1"/>
    <col min="7176" max="7177" width="22.88671875" style="791" customWidth="1"/>
    <col min="7178" max="7178" width="20.44140625" style="791" customWidth="1"/>
    <col min="7179" max="7180" width="19" style="791" customWidth="1"/>
    <col min="7181" max="7181" width="16.44140625" style="791" customWidth="1"/>
    <col min="7182" max="7183" width="16.5546875" style="791" customWidth="1"/>
    <col min="7184" max="7184" width="12.6640625" style="791" customWidth="1"/>
    <col min="7185" max="7185" width="17.109375" style="791" customWidth="1"/>
    <col min="7186" max="7186" width="25.109375" style="791" bestFit="1" customWidth="1"/>
    <col min="7187" max="7424" width="9.109375" style="791"/>
    <col min="7425" max="7425" width="2" style="791" customWidth="1"/>
    <col min="7426" max="7426" width="5.6640625" style="791" customWidth="1"/>
    <col min="7427" max="7427" width="8.33203125" style="791" customWidth="1"/>
    <col min="7428" max="7428" width="51.33203125" style="791" customWidth="1"/>
    <col min="7429" max="7429" width="22.88671875" style="791" customWidth="1"/>
    <col min="7430" max="7430" width="24.44140625" style="791" customWidth="1"/>
    <col min="7431" max="7431" width="29.88671875" style="791" customWidth="1"/>
    <col min="7432" max="7433" width="22.88671875" style="791" customWidth="1"/>
    <col min="7434" max="7434" width="20.44140625" style="791" customWidth="1"/>
    <col min="7435" max="7436" width="19" style="791" customWidth="1"/>
    <col min="7437" max="7437" width="16.44140625" style="791" customWidth="1"/>
    <col min="7438" max="7439" width="16.5546875" style="791" customWidth="1"/>
    <col min="7440" max="7440" width="12.6640625" style="791" customWidth="1"/>
    <col min="7441" max="7441" width="17.109375" style="791" customWidth="1"/>
    <col min="7442" max="7442" width="25.109375" style="791" bestFit="1" customWidth="1"/>
    <col min="7443" max="7680" width="9.109375" style="791"/>
    <col min="7681" max="7681" width="2" style="791" customWidth="1"/>
    <col min="7682" max="7682" width="5.6640625" style="791" customWidth="1"/>
    <col min="7683" max="7683" width="8.33203125" style="791" customWidth="1"/>
    <col min="7684" max="7684" width="51.33203125" style="791" customWidth="1"/>
    <col min="7685" max="7685" width="22.88671875" style="791" customWidth="1"/>
    <col min="7686" max="7686" width="24.44140625" style="791" customWidth="1"/>
    <col min="7687" max="7687" width="29.88671875" style="791" customWidth="1"/>
    <col min="7688" max="7689" width="22.88671875" style="791" customWidth="1"/>
    <col min="7690" max="7690" width="20.44140625" style="791" customWidth="1"/>
    <col min="7691" max="7692" width="19" style="791" customWidth="1"/>
    <col min="7693" max="7693" width="16.44140625" style="791" customWidth="1"/>
    <col min="7694" max="7695" width="16.5546875" style="791" customWidth="1"/>
    <col min="7696" max="7696" width="12.6640625" style="791" customWidth="1"/>
    <col min="7697" max="7697" width="17.109375" style="791" customWidth="1"/>
    <col min="7698" max="7698" width="25.109375" style="791" bestFit="1" customWidth="1"/>
    <col min="7699" max="7936" width="9.109375" style="791"/>
    <col min="7937" max="7937" width="2" style="791" customWidth="1"/>
    <col min="7938" max="7938" width="5.6640625" style="791" customWidth="1"/>
    <col min="7939" max="7939" width="8.33203125" style="791" customWidth="1"/>
    <col min="7940" max="7940" width="51.33203125" style="791" customWidth="1"/>
    <col min="7941" max="7941" width="22.88671875" style="791" customWidth="1"/>
    <col min="7942" max="7942" width="24.44140625" style="791" customWidth="1"/>
    <col min="7943" max="7943" width="29.88671875" style="791" customWidth="1"/>
    <col min="7944" max="7945" width="22.88671875" style="791" customWidth="1"/>
    <col min="7946" max="7946" width="20.44140625" style="791" customWidth="1"/>
    <col min="7947" max="7948" width="19" style="791" customWidth="1"/>
    <col min="7949" max="7949" width="16.44140625" style="791" customWidth="1"/>
    <col min="7950" max="7951" width="16.5546875" style="791" customWidth="1"/>
    <col min="7952" max="7952" width="12.6640625" style="791" customWidth="1"/>
    <col min="7953" max="7953" width="17.109375" style="791" customWidth="1"/>
    <col min="7954" max="7954" width="25.109375" style="791" bestFit="1" customWidth="1"/>
    <col min="7955" max="8192" width="9.109375" style="791"/>
    <col min="8193" max="8193" width="2" style="791" customWidth="1"/>
    <col min="8194" max="8194" width="5.6640625" style="791" customWidth="1"/>
    <col min="8195" max="8195" width="8.33203125" style="791" customWidth="1"/>
    <col min="8196" max="8196" width="51.33203125" style="791" customWidth="1"/>
    <col min="8197" max="8197" width="22.88671875" style="791" customWidth="1"/>
    <col min="8198" max="8198" width="24.44140625" style="791" customWidth="1"/>
    <col min="8199" max="8199" width="29.88671875" style="791" customWidth="1"/>
    <col min="8200" max="8201" width="22.88671875" style="791" customWidth="1"/>
    <col min="8202" max="8202" width="20.44140625" style="791" customWidth="1"/>
    <col min="8203" max="8204" width="19" style="791" customWidth="1"/>
    <col min="8205" max="8205" width="16.44140625" style="791" customWidth="1"/>
    <col min="8206" max="8207" width="16.5546875" style="791" customWidth="1"/>
    <col min="8208" max="8208" width="12.6640625" style="791" customWidth="1"/>
    <col min="8209" max="8209" width="17.109375" style="791" customWidth="1"/>
    <col min="8210" max="8210" width="25.109375" style="791" bestFit="1" customWidth="1"/>
    <col min="8211" max="8448" width="9.109375" style="791"/>
    <col min="8449" max="8449" width="2" style="791" customWidth="1"/>
    <col min="8450" max="8450" width="5.6640625" style="791" customWidth="1"/>
    <col min="8451" max="8451" width="8.33203125" style="791" customWidth="1"/>
    <col min="8452" max="8452" width="51.33203125" style="791" customWidth="1"/>
    <col min="8453" max="8453" width="22.88671875" style="791" customWidth="1"/>
    <col min="8454" max="8454" width="24.44140625" style="791" customWidth="1"/>
    <col min="8455" max="8455" width="29.88671875" style="791" customWidth="1"/>
    <col min="8456" max="8457" width="22.88671875" style="791" customWidth="1"/>
    <col min="8458" max="8458" width="20.44140625" style="791" customWidth="1"/>
    <col min="8459" max="8460" width="19" style="791" customWidth="1"/>
    <col min="8461" max="8461" width="16.44140625" style="791" customWidth="1"/>
    <col min="8462" max="8463" width="16.5546875" style="791" customWidth="1"/>
    <col min="8464" max="8464" width="12.6640625" style="791" customWidth="1"/>
    <col min="8465" max="8465" width="17.109375" style="791" customWidth="1"/>
    <col min="8466" max="8466" width="25.109375" style="791" bestFit="1" customWidth="1"/>
    <col min="8467" max="8704" width="9.109375" style="791"/>
    <col min="8705" max="8705" width="2" style="791" customWidth="1"/>
    <col min="8706" max="8706" width="5.6640625" style="791" customWidth="1"/>
    <col min="8707" max="8707" width="8.33203125" style="791" customWidth="1"/>
    <col min="8708" max="8708" width="51.33203125" style="791" customWidth="1"/>
    <col min="8709" max="8709" width="22.88671875" style="791" customWidth="1"/>
    <col min="8710" max="8710" width="24.44140625" style="791" customWidth="1"/>
    <col min="8711" max="8711" width="29.88671875" style="791" customWidth="1"/>
    <col min="8712" max="8713" width="22.88671875" style="791" customWidth="1"/>
    <col min="8714" max="8714" width="20.44140625" style="791" customWidth="1"/>
    <col min="8715" max="8716" width="19" style="791" customWidth="1"/>
    <col min="8717" max="8717" width="16.44140625" style="791" customWidth="1"/>
    <col min="8718" max="8719" width="16.5546875" style="791" customWidth="1"/>
    <col min="8720" max="8720" width="12.6640625" style="791" customWidth="1"/>
    <col min="8721" max="8721" width="17.109375" style="791" customWidth="1"/>
    <col min="8722" max="8722" width="25.109375" style="791" bestFit="1" customWidth="1"/>
    <col min="8723" max="8960" width="9.109375" style="791"/>
    <col min="8961" max="8961" width="2" style="791" customWidth="1"/>
    <col min="8962" max="8962" width="5.6640625" style="791" customWidth="1"/>
    <col min="8963" max="8963" width="8.33203125" style="791" customWidth="1"/>
    <col min="8964" max="8964" width="51.33203125" style="791" customWidth="1"/>
    <col min="8965" max="8965" width="22.88671875" style="791" customWidth="1"/>
    <col min="8966" max="8966" width="24.44140625" style="791" customWidth="1"/>
    <col min="8967" max="8967" width="29.88671875" style="791" customWidth="1"/>
    <col min="8968" max="8969" width="22.88671875" style="791" customWidth="1"/>
    <col min="8970" max="8970" width="20.44140625" style="791" customWidth="1"/>
    <col min="8971" max="8972" width="19" style="791" customWidth="1"/>
    <col min="8973" max="8973" width="16.44140625" style="791" customWidth="1"/>
    <col min="8974" max="8975" width="16.5546875" style="791" customWidth="1"/>
    <col min="8976" max="8976" width="12.6640625" style="791" customWidth="1"/>
    <col min="8977" max="8977" width="17.109375" style="791" customWidth="1"/>
    <col min="8978" max="8978" width="25.109375" style="791" bestFit="1" customWidth="1"/>
    <col min="8979" max="9216" width="9.109375" style="791"/>
    <col min="9217" max="9217" width="2" style="791" customWidth="1"/>
    <col min="9218" max="9218" width="5.6640625" style="791" customWidth="1"/>
    <col min="9219" max="9219" width="8.33203125" style="791" customWidth="1"/>
    <col min="9220" max="9220" width="51.33203125" style="791" customWidth="1"/>
    <col min="9221" max="9221" width="22.88671875" style="791" customWidth="1"/>
    <col min="9222" max="9222" width="24.44140625" style="791" customWidth="1"/>
    <col min="9223" max="9223" width="29.88671875" style="791" customWidth="1"/>
    <col min="9224" max="9225" width="22.88671875" style="791" customWidth="1"/>
    <col min="9226" max="9226" width="20.44140625" style="791" customWidth="1"/>
    <col min="9227" max="9228" width="19" style="791" customWidth="1"/>
    <col min="9229" max="9229" width="16.44140625" style="791" customWidth="1"/>
    <col min="9230" max="9231" width="16.5546875" style="791" customWidth="1"/>
    <col min="9232" max="9232" width="12.6640625" style="791" customWidth="1"/>
    <col min="9233" max="9233" width="17.109375" style="791" customWidth="1"/>
    <col min="9234" max="9234" width="25.109375" style="791" bestFit="1" customWidth="1"/>
    <col min="9235" max="9472" width="9.109375" style="791"/>
    <col min="9473" max="9473" width="2" style="791" customWidth="1"/>
    <col min="9474" max="9474" width="5.6640625" style="791" customWidth="1"/>
    <col min="9475" max="9475" width="8.33203125" style="791" customWidth="1"/>
    <col min="9476" max="9476" width="51.33203125" style="791" customWidth="1"/>
    <col min="9477" max="9477" width="22.88671875" style="791" customWidth="1"/>
    <col min="9478" max="9478" width="24.44140625" style="791" customWidth="1"/>
    <col min="9479" max="9479" width="29.88671875" style="791" customWidth="1"/>
    <col min="9480" max="9481" width="22.88671875" style="791" customWidth="1"/>
    <col min="9482" max="9482" width="20.44140625" style="791" customWidth="1"/>
    <col min="9483" max="9484" width="19" style="791" customWidth="1"/>
    <col min="9485" max="9485" width="16.44140625" style="791" customWidth="1"/>
    <col min="9486" max="9487" width="16.5546875" style="791" customWidth="1"/>
    <col min="9488" max="9488" width="12.6640625" style="791" customWidth="1"/>
    <col min="9489" max="9489" width="17.109375" style="791" customWidth="1"/>
    <col min="9490" max="9490" width="25.109375" style="791" bestFit="1" customWidth="1"/>
    <col min="9491" max="9728" width="9.109375" style="791"/>
    <col min="9729" max="9729" width="2" style="791" customWidth="1"/>
    <col min="9730" max="9730" width="5.6640625" style="791" customWidth="1"/>
    <col min="9731" max="9731" width="8.33203125" style="791" customWidth="1"/>
    <col min="9732" max="9732" width="51.33203125" style="791" customWidth="1"/>
    <col min="9733" max="9733" width="22.88671875" style="791" customWidth="1"/>
    <col min="9734" max="9734" width="24.44140625" style="791" customWidth="1"/>
    <col min="9735" max="9735" width="29.88671875" style="791" customWidth="1"/>
    <col min="9736" max="9737" width="22.88671875" style="791" customWidth="1"/>
    <col min="9738" max="9738" width="20.44140625" style="791" customWidth="1"/>
    <col min="9739" max="9740" width="19" style="791" customWidth="1"/>
    <col min="9741" max="9741" width="16.44140625" style="791" customWidth="1"/>
    <col min="9742" max="9743" width="16.5546875" style="791" customWidth="1"/>
    <col min="9744" max="9744" width="12.6640625" style="791" customWidth="1"/>
    <col min="9745" max="9745" width="17.109375" style="791" customWidth="1"/>
    <col min="9746" max="9746" width="25.109375" style="791" bestFit="1" customWidth="1"/>
    <col min="9747" max="9984" width="9.109375" style="791"/>
    <col min="9985" max="9985" width="2" style="791" customWidth="1"/>
    <col min="9986" max="9986" width="5.6640625" style="791" customWidth="1"/>
    <col min="9987" max="9987" width="8.33203125" style="791" customWidth="1"/>
    <col min="9988" max="9988" width="51.33203125" style="791" customWidth="1"/>
    <col min="9989" max="9989" width="22.88671875" style="791" customWidth="1"/>
    <col min="9990" max="9990" width="24.44140625" style="791" customWidth="1"/>
    <col min="9991" max="9991" width="29.88671875" style="791" customWidth="1"/>
    <col min="9992" max="9993" width="22.88671875" style="791" customWidth="1"/>
    <col min="9994" max="9994" width="20.44140625" style="791" customWidth="1"/>
    <col min="9995" max="9996" width="19" style="791" customWidth="1"/>
    <col min="9997" max="9997" width="16.44140625" style="791" customWidth="1"/>
    <col min="9998" max="9999" width="16.5546875" style="791" customWidth="1"/>
    <col min="10000" max="10000" width="12.6640625" style="791" customWidth="1"/>
    <col min="10001" max="10001" width="17.109375" style="791" customWidth="1"/>
    <col min="10002" max="10002" width="25.109375" style="791" bestFit="1" customWidth="1"/>
    <col min="10003" max="10240" width="9.109375" style="791"/>
    <col min="10241" max="10241" width="2" style="791" customWidth="1"/>
    <col min="10242" max="10242" width="5.6640625" style="791" customWidth="1"/>
    <col min="10243" max="10243" width="8.33203125" style="791" customWidth="1"/>
    <col min="10244" max="10244" width="51.33203125" style="791" customWidth="1"/>
    <col min="10245" max="10245" width="22.88671875" style="791" customWidth="1"/>
    <col min="10246" max="10246" width="24.44140625" style="791" customWidth="1"/>
    <col min="10247" max="10247" width="29.88671875" style="791" customWidth="1"/>
    <col min="10248" max="10249" width="22.88671875" style="791" customWidth="1"/>
    <col min="10250" max="10250" width="20.44140625" style="791" customWidth="1"/>
    <col min="10251" max="10252" width="19" style="791" customWidth="1"/>
    <col min="10253" max="10253" width="16.44140625" style="791" customWidth="1"/>
    <col min="10254" max="10255" width="16.5546875" style="791" customWidth="1"/>
    <col min="10256" max="10256" width="12.6640625" style="791" customWidth="1"/>
    <col min="10257" max="10257" width="17.109375" style="791" customWidth="1"/>
    <col min="10258" max="10258" width="25.109375" style="791" bestFit="1" customWidth="1"/>
    <col min="10259"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1" width="22.88671875" style="791" customWidth="1"/>
    <col min="10502" max="10502" width="24.44140625" style="791" customWidth="1"/>
    <col min="10503" max="10503" width="29.88671875" style="791" customWidth="1"/>
    <col min="10504" max="10505" width="22.88671875" style="791" customWidth="1"/>
    <col min="10506" max="10506" width="20.44140625" style="791" customWidth="1"/>
    <col min="10507" max="10508" width="19" style="791" customWidth="1"/>
    <col min="10509" max="10509" width="16.44140625" style="791" customWidth="1"/>
    <col min="10510" max="10511" width="16.5546875" style="791" customWidth="1"/>
    <col min="10512" max="10512" width="12.6640625" style="791" customWidth="1"/>
    <col min="10513" max="10513" width="17.109375" style="791" customWidth="1"/>
    <col min="10514" max="10514" width="25.109375" style="791" bestFit="1" customWidth="1"/>
    <col min="10515" max="10752" width="9.109375" style="791"/>
    <col min="10753" max="10753" width="2" style="791" customWidth="1"/>
    <col min="10754" max="10754" width="5.6640625" style="791" customWidth="1"/>
    <col min="10755" max="10755" width="8.33203125" style="791" customWidth="1"/>
    <col min="10756" max="10756" width="51.33203125" style="791" customWidth="1"/>
    <col min="10757" max="10757" width="22.88671875" style="791" customWidth="1"/>
    <col min="10758" max="10758" width="24.44140625" style="791" customWidth="1"/>
    <col min="10759" max="10759" width="29.88671875" style="791" customWidth="1"/>
    <col min="10760" max="10761" width="22.88671875" style="791" customWidth="1"/>
    <col min="10762" max="10762" width="20.44140625" style="791" customWidth="1"/>
    <col min="10763" max="10764" width="19" style="791" customWidth="1"/>
    <col min="10765" max="10765" width="16.44140625" style="791" customWidth="1"/>
    <col min="10766" max="10767" width="16.5546875" style="791" customWidth="1"/>
    <col min="10768" max="10768" width="12.6640625" style="791" customWidth="1"/>
    <col min="10769" max="10769" width="17.109375" style="791" customWidth="1"/>
    <col min="10770" max="10770" width="25.109375" style="791" bestFit="1" customWidth="1"/>
    <col min="10771"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3" width="22.88671875" style="791" customWidth="1"/>
    <col min="11014" max="11014" width="24.44140625" style="791" customWidth="1"/>
    <col min="11015" max="11015" width="29.88671875" style="791" customWidth="1"/>
    <col min="11016" max="11017" width="22.88671875" style="791" customWidth="1"/>
    <col min="11018" max="11018" width="20.44140625" style="791" customWidth="1"/>
    <col min="11019" max="11020" width="19" style="791" customWidth="1"/>
    <col min="11021" max="11021" width="16.44140625" style="791" customWidth="1"/>
    <col min="11022" max="11023" width="16.5546875" style="791" customWidth="1"/>
    <col min="11024" max="11024" width="12.6640625" style="791" customWidth="1"/>
    <col min="11025" max="11025" width="17.109375" style="791" customWidth="1"/>
    <col min="11026" max="11026" width="25.109375" style="791" bestFit="1" customWidth="1"/>
    <col min="11027" max="11264" width="9.109375" style="791"/>
    <col min="11265" max="11265" width="2" style="791" customWidth="1"/>
    <col min="11266" max="11266" width="5.6640625" style="791" customWidth="1"/>
    <col min="11267" max="11267" width="8.33203125" style="791" customWidth="1"/>
    <col min="11268" max="11268" width="51.33203125" style="791" customWidth="1"/>
    <col min="11269" max="11269" width="22.88671875" style="791" customWidth="1"/>
    <col min="11270" max="11270" width="24.44140625" style="791" customWidth="1"/>
    <col min="11271" max="11271" width="29.88671875" style="791" customWidth="1"/>
    <col min="11272" max="11273" width="22.88671875" style="791" customWidth="1"/>
    <col min="11274" max="11274" width="20.44140625" style="791" customWidth="1"/>
    <col min="11275" max="11276" width="19" style="791" customWidth="1"/>
    <col min="11277" max="11277" width="16.44140625" style="791" customWidth="1"/>
    <col min="11278" max="11279" width="16.5546875" style="791" customWidth="1"/>
    <col min="11280" max="11280" width="12.6640625" style="791" customWidth="1"/>
    <col min="11281" max="11281" width="17.109375" style="791" customWidth="1"/>
    <col min="11282" max="11282" width="25.109375" style="791" bestFit="1" customWidth="1"/>
    <col min="11283" max="11520" width="9.109375" style="791"/>
    <col min="11521" max="11521" width="2" style="791" customWidth="1"/>
    <col min="11522" max="11522" width="5.6640625" style="791" customWidth="1"/>
    <col min="11523" max="11523" width="8.33203125" style="791" customWidth="1"/>
    <col min="11524" max="11524" width="51.33203125" style="791" customWidth="1"/>
    <col min="11525" max="11525" width="22.88671875" style="791" customWidth="1"/>
    <col min="11526" max="11526" width="24.44140625" style="791" customWidth="1"/>
    <col min="11527" max="11527" width="29.88671875" style="791" customWidth="1"/>
    <col min="11528" max="11529" width="22.88671875" style="791" customWidth="1"/>
    <col min="11530" max="11530" width="20.44140625" style="791" customWidth="1"/>
    <col min="11531" max="11532" width="19" style="791" customWidth="1"/>
    <col min="11533" max="11533" width="16.44140625" style="791" customWidth="1"/>
    <col min="11534" max="11535" width="16.5546875" style="791" customWidth="1"/>
    <col min="11536" max="11536" width="12.6640625" style="791" customWidth="1"/>
    <col min="11537" max="11537" width="17.109375" style="791" customWidth="1"/>
    <col min="11538" max="11538" width="25.109375" style="791" bestFit="1" customWidth="1"/>
    <col min="11539"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1" width="22.88671875" style="791" customWidth="1"/>
    <col min="11782" max="11782" width="24.44140625" style="791" customWidth="1"/>
    <col min="11783" max="11783" width="29.88671875" style="791" customWidth="1"/>
    <col min="11784" max="11785" width="22.88671875" style="791" customWidth="1"/>
    <col min="11786" max="11786" width="20.44140625" style="791" customWidth="1"/>
    <col min="11787" max="11788" width="19" style="791" customWidth="1"/>
    <col min="11789" max="11789" width="16.44140625" style="791" customWidth="1"/>
    <col min="11790" max="11791" width="16.5546875" style="791" customWidth="1"/>
    <col min="11792" max="11792" width="12.6640625" style="791" customWidth="1"/>
    <col min="11793" max="11793" width="17.109375" style="791" customWidth="1"/>
    <col min="11794" max="11794" width="25.109375" style="791" bestFit="1" customWidth="1"/>
    <col min="11795" max="12032" width="9.109375" style="791"/>
    <col min="12033" max="12033" width="2" style="791" customWidth="1"/>
    <col min="12034" max="12034" width="5.6640625" style="791" customWidth="1"/>
    <col min="12035" max="12035" width="8.33203125" style="791" customWidth="1"/>
    <col min="12036" max="12036" width="51.33203125" style="791" customWidth="1"/>
    <col min="12037" max="12037" width="22.88671875" style="791" customWidth="1"/>
    <col min="12038" max="12038" width="24.44140625" style="791" customWidth="1"/>
    <col min="12039" max="12039" width="29.88671875" style="791" customWidth="1"/>
    <col min="12040" max="12041" width="22.88671875" style="791" customWidth="1"/>
    <col min="12042" max="12042" width="20.44140625" style="791" customWidth="1"/>
    <col min="12043" max="12044" width="19" style="791" customWidth="1"/>
    <col min="12045" max="12045" width="16.44140625" style="791" customWidth="1"/>
    <col min="12046" max="12047" width="16.5546875" style="791" customWidth="1"/>
    <col min="12048" max="12048" width="12.6640625" style="791" customWidth="1"/>
    <col min="12049" max="12049" width="17.109375" style="791" customWidth="1"/>
    <col min="12050" max="12050" width="25.109375" style="791" bestFit="1" customWidth="1"/>
    <col min="12051"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3" width="22.88671875" style="791" customWidth="1"/>
    <col min="12294" max="12294" width="24.44140625" style="791" customWidth="1"/>
    <col min="12295" max="12295" width="29.88671875" style="791" customWidth="1"/>
    <col min="12296" max="12297" width="22.88671875" style="791" customWidth="1"/>
    <col min="12298" max="12298" width="20.44140625" style="791" customWidth="1"/>
    <col min="12299" max="12300" width="19" style="791" customWidth="1"/>
    <col min="12301" max="12301" width="16.44140625" style="791" customWidth="1"/>
    <col min="12302" max="12303" width="16.5546875" style="791" customWidth="1"/>
    <col min="12304" max="12304" width="12.6640625" style="791" customWidth="1"/>
    <col min="12305" max="12305" width="17.109375" style="791" customWidth="1"/>
    <col min="12306" max="12306" width="25.109375" style="791" bestFit="1" customWidth="1"/>
    <col min="12307" max="12544" width="9.109375" style="791"/>
    <col min="12545" max="12545" width="2" style="791" customWidth="1"/>
    <col min="12546" max="12546" width="5.6640625" style="791" customWidth="1"/>
    <col min="12547" max="12547" width="8.33203125" style="791" customWidth="1"/>
    <col min="12548" max="12548" width="51.33203125" style="791" customWidth="1"/>
    <col min="12549" max="12549" width="22.88671875" style="791" customWidth="1"/>
    <col min="12550" max="12550" width="24.44140625" style="791" customWidth="1"/>
    <col min="12551" max="12551" width="29.88671875" style="791" customWidth="1"/>
    <col min="12552" max="12553" width="22.88671875" style="791" customWidth="1"/>
    <col min="12554" max="12554" width="20.44140625" style="791" customWidth="1"/>
    <col min="12555" max="12556" width="19" style="791" customWidth="1"/>
    <col min="12557" max="12557" width="16.44140625" style="791" customWidth="1"/>
    <col min="12558" max="12559" width="16.5546875" style="791" customWidth="1"/>
    <col min="12560" max="12560" width="12.6640625" style="791" customWidth="1"/>
    <col min="12561" max="12561" width="17.109375" style="791" customWidth="1"/>
    <col min="12562" max="12562" width="25.109375" style="791" bestFit="1" customWidth="1"/>
    <col min="12563" max="12800" width="9.109375" style="791"/>
    <col min="12801" max="12801" width="2" style="791" customWidth="1"/>
    <col min="12802" max="12802" width="5.6640625" style="791" customWidth="1"/>
    <col min="12803" max="12803" width="8.33203125" style="791" customWidth="1"/>
    <col min="12804" max="12804" width="51.33203125" style="791" customWidth="1"/>
    <col min="12805" max="12805" width="22.88671875" style="791" customWidth="1"/>
    <col min="12806" max="12806" width="24.44140625" style="791" customWidth="1"/>
    <col min="12807" max="12807" width="29.88671875" style="791" customWidth="1"/>
    <col min="12808" max="12809" width="22.88671875" style="791" customWidth="1"/>
    <col min="12810" max="12810" width="20.44140625" style="791" customWidth="1"/>
    <col min="12811" max="12812" width="19" style="791" customWidth="1"/>
    <col min="12813" max="12813" width="16.44140625" style="791" customWidth="1"/>
    <col min="12814" max="12815" width="16.5546875" style="791" customWidth="1"/>
    <col min="12816" max="12816" width="12.6640625" style="791" customWidth="1"/>
    <col min="12817" max="12817" width="17.109375" style="791" customWidth="1"/>
    <col min="12818" max="12818" width="25.109375" style="791" bestFit="1" customWidth="1"/>
    <col min="12819"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1" width="22.88671875" style="791" customWidth="1"/>
    <col min="13062" max="13062" width="24.44140625" style="791" customWidth="1"/>
    <col min="13063" max="13063" width="29.88671875" style="791" customWidth="1"/>
    <col min="13064" max="13065" width="22.88671875" style="791" customWidth="1"/>
    <col min="13066" max="13066" width="20.44140625" style="791" customWidth="1"/>
    <col min="13067" max="13068" width="19" style="791" customWidth="1"/>
    <col min="13069" max="13069" width="16.44140625" style="791" customWidth="1"/>
    <col min="13070" max="13071" width="16.5546875" style="791" customWidth="1"/>
    <col min="13072" max="13072" width="12.6640625" style="791" customWidth="1"/>
    <col min="13073" max="13073" width="17.109375" style="791" customWidth="1"/>
    <col min="13074" max="13074" width="25.109375" style="791" bestFit="1" customWidth="1"/>
    <col min="13075" max="13312" width="9.109375" style="791"/>
    <col min="13313" max="13313" width="2" style="791" customWidth="1"/>
    <col min="13314" max="13314" width="5.6640625" style="791" customWidth="1"/>
    <col min="13315" max="13315" width="8.33203125" style="791" customWidth="1"/>
    <col min="13316" max="13316" width="51.33203125" style="791" customWidth="1"/>
    <col min="13317" max="13317" width="22.88671875" style="791" customWidth="1"/>
    <col min="13318" max="13318" width="24.44140625" style="791" customWidth="1"/>
    <col min="13319" max="13319" width="29.88671875" style="791" customWidth="1"/>
    <col min="13320" max="13321" width="22.88671875" style="791" customWidth="1"/>
    <col min="13322" max="13322" width="20.44140625" style="791" customWidth="1"/>
    <col min="13323" max="13324" width="19" style="791" customWidth="1"/>
    <col min="13325" max="13325" width="16.44140625" style="791" customWidth="1"/>
    <col min="13326" max="13327" width="16.5546875" style="791" customWidth="1"/>
    <col min="13328" max="13328" width="12.6640625" style="791" customWidth="1"/>
    <col min="13329" max="13329" width="17.109375" style="791" customWidth="1"/>
    <col min="13330" max="13330" width="25.109375" style="791" bestFit="1" customWidth="1"/>
    <col min="13331"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3" width="22.88671875" style="791" customWidth="1"/>
    <col min="13574" max="13574" width="24.44140625" style="791" customWidth="1"/>
    <col min="13575" max="13575" width="29.88671875" style="791" customWidth="1"/>
    <col min="13576" max="13577" width="22.88671875" style="791" customWidth="1"/>
    <col min="13578" max="13578" width="20.44140625" style="791" customWidth="1"/>
    <col min="13579" max="13580" width="19" style="791" customWidth="1"/>
    <col min="13581" max="13581" width="16.44140625" style="791" customWidth="1"/>
    <col min="13582" max="13583" width="16.5546875" style="791" customWidth="1"/>
    <col min="13584" max="13584" width="12.6640625" style="791" customWidth="1"/>
    <col min="13585" max="13585" width="17.109375" style="791" customWidth="1"/>
    <col min="13586" max="13586" width="25.109375" style="791" bestFit="1" customWidth="1"/>
    <col min="13587" max="13824" width="9.109375" style="791"/>
    <col min="13825" max="13825" width="2" style="791" customWidth="1"/>
    <col min="13826" max="13826" width="5.6640625" style="791" customWidth="1"/>
    <col min="13827" max="13827" width="8.33203125" style="791" customWidth="1"/>
    <col min="13828" max="13828" width="51.33203125" style="791" customWidth="1"/>
    <col min="13829" max="13829" width="22.88671875" style="791" customWidth="1"/>
    <col min="13830" max="13830" width="24.44140625" style="791" customWidth="1"/>
    <col min="13831" max="13831" width="29.88671875" style="791" customWidth="1"/>
    <col min="13832" max="13833" width="22.88671875" style="791" customWidth="1"/>
    <col min="13834" max="13834" width="20.44140625" style="791" customWidth="1"/>
    <col min="13835" max="13836" width="19" style="791" customWidth="1"/>
    <col min="13837" max="13837" width="16.44140625" style="791" customWidth="1"/>
    <col min="13838" max="13839" width="16.5546875" style="791" customWidth="1"/>
    <col min="13840" max="13840" width="12.6640625" style="791" customWidth="1"/>
    <col min="13841" max="13841" width="17.109375" style="791" customWidth="1"/>
    <col min="13842" max="13842" width="25.109375" style="791" bestFit="1" customWidth="1"/>
    <col min="13843" max="14080" width="9.109375" style="791"/>
    <col min="14081" max="14081" width="2" style="791" customWidth="1"/>
    <col min="14082" max="14082" width="5.6640625" style="791" customWidth="1"/>
    <col min="14083" max="14083" width="8.33203125" style="791" customWidth="1"/>
    <col min="14084" max="14084" width="51.33203125" style="791" customWidth="1"/>
    <col min="14085" max="14085" width="22.88671875" style="791" customWidth="1"/>
    <col min="14086" max="14086" width="24.44140625" style="791" customWidth="1"/>
    <col min="14087" max="14087" width="29.88671875" style="791" customWidth="1"/>
    <col min="14088" max="14089" width="22.88671875" style="791" customWidth="1"/>
    <col min="14090" max="14090" width="20.44140625" style="791" customWidth="1"/>
    <col min="14091" max="14092" width="19" style="791" customWidth="1"/>
    <col min="14093" max="14093" width="16.44140625" style="791" customWidth="1"/>
    <col min="14094" max="14095" width="16.5546875" style="791" customWidth="1"/>
    <col min="14096" max="14096" width="12.6640625" style="791" customWidth="1"/>
    <col min="14097" max="14097" width="17.109375" style="791" customWidth="1"/>
    <col min="14098" max="14098" width="25.109375" style="791" bestFit="1" customWidth="1"/>
    <col min="14099"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1" width="22.88671875" style="791" customWidth="1"/>
    <col min="14342" max="14342" width="24.44140625" style="791" customWidth="1"/>
    <col min="14343" max="14343" width="29.88671875" style="791" customWidth="1"/>
    <col min="14344" max="14345" width="22.88671875" style="791" customWidth="1"/>
    <col min="14346" max="14346" width="20.44140625" style="791" customWidth="1"/>
    <col min="14347" max="14348" width="19" style="791" customWidth="1"/>
    <col min="14349" max="14349" width="16.44140625" style="791" customWidth="1"/>
    <col min="14350" max="14351" width="16.5546875" style="791" customWidth="1"/>
    <col min="14352" max="14352" width="12.6640625" style="791" customWidth="1"/>
    <col min="14353" max="14353" width="17.109375" style="791" customWidth="1"/>
    <col min="14354" max="14354" width="25.109375" style="791" bestFit="1" customWidth="1"/>
    <col min="14355" max="14592" width="9.109375" style="791"/>
    <col min="14593" max="14593" width="2" style="791" customWidth="1"/>
    <col min="14594" max="14594" width="5.6640625" style="791" customWidth="1"/>
    <col min="14595" max="14595" width="8.33203125" style="791" customWidth="1"/>
    <col min="14596" max="14596" width="51.33203125" style="791" customWidth="1"/>
    <col min="14597" max="14597" width="22.88671875" style="791" customWidth="1"/>
    <col min="14598" max="14598" width="24.44140625" style="791" customWidth="1"/>
    <col min="14599" max="14599" width="29.88671875" style="791" customWidth="1"/>
    <col min="14600" max="14601" width="22.88671875" style="791" customWidth="1"/>
    <col min="14602" max="14602" width="20.44140625" style="791" customWidth="1"/>
    <col min="14603" max="14604" width="19" style="791" customWidth="1"/>
    <col min="14605" max="14605" width="16.44140625" style="791" customWidth="1"/>
    <col min="14606" max="14607" width="16.5546875" style="791" customWidth="1"/>
    <col min="14608" max="14608" width="12.6640625" style="791" customWidth="1"/>
    <col min="14609" max="14609" width="17.109375" style="791" customWidth="1"/>
    <col min="14610" max="14610" width="25.109375" style="791" bestFit="1" customWidth="1"/>
    <col min="14611"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3" width="22.88671875" style="791" customWidth="1"/>
    <col min="14854" max="14854" width="24.44140625" style="791" customWidth="1"/>
    <col min="14855" max="14855" width="29.88671875" style="791" customWidth="1"/>
    <col min="14856" max="14857" width="22.88671875" style="791" customWidth="1"/>
    <col min="14858" max="14858" width="20.44140625" style="791" customWidth="1"/>
    <col min="14859" max="14860" width="19" style="791" customWidth="1"/>
    <col min="14861" max="14861" width="16.44140625" style="791" customWidth="1"/>
    <col min="14862" max="14863" width="16.5546875" style="791" customWidth="1"/>
    <col min="14864" max="14864" width="12.6640625" style="791" customWidth="1"/>
    <col min="14865" max="14865" width="17.109375" style="791" customWidth="1"/>
    <col min="14866" max="14866" width="25.109375" style="791" bestFit="1" customWidth="1"/>
    <col min="14867" max="15104" width="9.109375" style="791"/>
    <col min="15105" max="15105" width="2" style="791" customWidth="1"/>
    <col min="15106" max="15106" width="5.6640625" style="791" customWidth="1"/>
    <col min="15107" max="15107" width="8.33203125" style="791" customWidth="1"/>
    <col min="15108" max="15108" width="51.33203125" style="791" customWidth="1"/>
    <col min="15109" max="15109" width="22.88671875" style="791" customWidth="1"/>
    <col min="15110" max="15110" width="24.44140625" style="791" customWidth="1"/>
    <col min="15111" max="15111" width="29.88671875" style="791" customWidth="1"/>
    <col min="15112" max="15113" width="22.88671875" style="791" customWidth="1"/>
    <col min="15114" max="15114" width="20.44140625" style="791" customWidth="1"/>
    <col min="15115" max="15116" width="19" style="791" customWidth="1"/>
    <col min="15117" max="15117" width="16.44140625" style="791" customWidth="1"/>
    <col min="15118" max="15119" width="16.5546875" style="791" customWidth="1"/>
    <col min="15120" max="15120" width="12.6640625" style="791" customWidth="1"/>
    <col min="15121" max="15121" width="17.109375" style="791" customWidth="1"/>
    <col min="15122" max="15122" width="25.109375" style="791" bestFit="1" customWidth="1"/>
    <col min="15123" max="15360" width="9.109375" style="791"/>
    <col min="15361" max="15361" width="2" style="791" customWidth="1"/>
    <col min="15362" max="15362" width="5.6640625" style="791" customWidth="1"/>
    <col min="15363" max="15363" width="8.33203125" style="791" customWidth="1"/>
    <col min="15364" max="15364" width="51.33203125" style="791" customWidth="1"/>
    <col min="15365" max="15365" width="22.88671875" style="791" customWidth="1"/>
    <col min="15366" max="15366" width="24.44140625" style="791" customWidth="1"/>
    <col min="15367" max="15367" width="29.88671875" style="791" customWidth="1"/>
    <col min="15368" max="15369" width="22.88671875" style="791" customWidth="1"/>
    <col min="15370" max="15370" width="20.44140625" style="791" customWidth="1"/>
    <col min="15371" max="15372" width="19" style="791" customWidth="1"/>
    <col min="15373" max="15373" width="16.44140625" style="791" customWidth="1"/>
    <col min="15374" max="15375" width="16.5546875" style="791" customWidth="1"/>
    <col min="15376" max="15376" width="12.6640625" style="791" customWidth="1"/>
    <col min="15377" max="15377" width="17.109375" style="791" customWidth="1"/>
    <col min="15378" max="15378" width="25.109375" style="791" bestFit="1" customWidth="1"/>
    <col min="15379"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1" width="22.88671875" style="791" customWidth="1"/>
    <col min="15622" max="15622" width="24.44140625" style="791" customWidth="1"/>
    <col min="15623" max="15623" width="29.88671875" style="791" customWidth="1"/>
    <col min="15624" max="15625" width="22.88671875" style="791" customWidth="1"/>
    <col min="15626" max="15626" width="20.44140625" style="791" customWidth="1"/>
    <col min="15627" max="15628" width="19" style="791" customWidth="1"/>
    <col min="15629" max="15629" width="16.44140625" style="791" customWidth="1"/>
    <col min="15630" max="15631" width="16.5546875" style="791" customWidth="1"/>
    <col min="15632" max="15632" width="12.6640625" style="791" customWidth="1"/>
    <col min="15633" max="15633" width="17.109375" style="791" customWidth="1"/>
    <col min="15634" max="15634" width="25.109375" style="791" bestFit="1" customWidth="1"/>
    <col min="15635" max="15872" width="9.109375" style="791"/>
    <col min="15873" max="15873" width="2" style="791" customWidth="1"/>
    <col min="15874" max="15874" width="5.6640625" style="791" customWidth="1"/>
    <col min="15875" max="15875" width="8.33203125" style="791" customWidth="1"/>
    <col min="15876" max="15876" width="51.33203125" style="791" customWidth="1"/>
    <col min="15877" max="15877" width="22.88671875" style="791" customWidth="1"/>
    <col min="15878" max="15878" width="24.44140625" style="791" customWidth="1"/>
    <col min="15879" max="15879" width="29.88671875" style="791" customWidth="1"/>
    <col min="15880" max="15881" width="22.88671875" style="791" customWidth="1"/>
    <col min="15882" max="15882" width="20.44140625" style="791" customWidth="1"/>
    <col min="15883" max="15884" width="19" style="791" customWidth="1"/>
    <col min="15885" max="15885" width="16.44140625" style="791" customWidth="1"/>
    <col min="15886" max="15887" width="16.5546875" style="791" customWidth="1"/>
    <col min="15888" max="15888" width="12.6640625" style="791" customWidth="1"/>
    <col min="15889" max="15889" width="17.109375" style="791" customWidth="1"/>
    <col min="15890" max="15890" width="25.109375" style="791" bestFit="1" customWidth="1"/>
    <col min="15891"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3" width="22.88671875" style="791" customWidth="1"/>
    <col min="16134" max="16134" width="24.44140625" style="791" customWidth="1"/>
    <col min="16135" max="16135" width="29.88671875" style="791" customWidth="1"/>
    <col min="16136" max="16137" width="22.88671875" style="791" customWidth="1"/>
    <col min="16138" max="16138" width="20.44140625" style="791" customWidth="1"/>
    <col min="16139" max="16140" width="19" style="791" customWidth="1"/>
    <col min="16141" max="16141" width="16.44140625" style="791" customWidth="1"/>
    <col min="16142" max="16143" width="16.5546875" style="791" customWidth="1"/>
    <col min="16144" max="16144" width="12.6640625" style="791" customWidth="1"/>
    <col min="16145" max="16145" width="17.109375" style="791" customWidth="1"/>
    <col min="16146" max="16146" width="25.109375" style="791" bestFit="1" customWidth="1"/>
    <col min="16147" max="16384" width="9.109375" style="791"/>
  </cols>
  <sheetData>
    <row r="1" spans="2:18" ht="20.399999999999999">
      <c r="B1" s="944" t="s">
        <v>1287</v>
      </c>
      <c r="C1" s="944"/>
      <c r="D1" s="956"/>
      <c r="E1" s="956"/>
      <c r="F1" s="956"/>
      <c r="G1" s="956"/>
      <c r="H1" s="956"/>
      <c r="I1" s="956"/>
      <c r="J1" s="956"/>
      <c r="K1" s="956"/>
      <c r="L1" s="956"/>
      <c r="M1" s="956"/>
      <c r="N1" s="956"/>
      <c r="O1" s="956"/>
      <c r="P1" s="956"/>
      <c r="Q1" s="956"/>
      <c r="R1" s="956"/>
    </row>
    <row r="2" spans="2:18" ht="19.2">
      <c r="B2" s="957" t="str">
        <f>Inputs!B2</f>
        <v>(For Rate Year Beginning April 1, 2026, Based on December 31, 2025 Data)</v>
      </c>
      <c r="C2" s="957"/>
      <c r="D2" s="957"/>
      <c r="E2" s="957"/>
      <c r="F2" s="957"/>
      <c r="G2" s="957"/>
      <c r="H2" s="957"/>
      <c r="I2" s="957"/>
      <c r="J2" s="957"/>
      <c r="K2" s="957"/>
      <c r="L2" s="957"/>
      <c r="M2" s="957"/>
      <c r="N2" s="958"/>
      <c r="O2" s="958"/>
      <c r="P2" s="959"/>
      <c r="Q2" s="959"/>
      <c r="R2" s="959"/>
    </row>
    <row r="3" spans="2:18" ht="8.1" customHeight="1">
      <c r="B3" s="169"/>
      <c r="C3" s="168"/>
      <c r="D3" s="170"/>
      <c r="E3" s="170"/>
      <c r="F3" s="170"/>
      <c r="G3" s="170"/>
      <c r="H3" s="170"/>
      <c r="I3" s="170"/>
      <c r="J3" s="170"/>
      <c r="K3" s="170"/>
      <c r="L3" s="170"/>
      <c r="M3" s="170"/>
      <c r="N3" s="170"/>
      <c r="O3" s="170"/>
      <c r="P3" s="171"/>
      <c r="Q3" s="170"/>
      <c r="R3" s="170"/>
    </row>
    <row r="4" spans="2:18" ht="14.4">
      <c r="B4" s="169"/>
      <c r="C4" s="168"/>
      <c r="D4" s="171"/>
      <c r="E4" s="744" t="s">
        <v>533</v>
      </c>
      <c r="F4" s="744" t="s">
        <v>534</v>
      </c>
      <c r="G4" s="744" t="s">
        <v>535</v>
      </c>
      <c r="H4" s="744" t="s">
        <v>536</v>
      </c>
      <c r="I4" s="744" t="s">
        <v>537</v>
      </c>
      <c r="J4" s="744" t="s">
        <v>538</v>
      </c>
      <c r="K4" s="744" t="s">
        <v>539</v>
      </c>
      <c r="L4" s="744" t="s">
        <v>1281</v>
      </c>
      <c r="M4" s="744" t="s">
        <v>1282</v>
      </c>
      <c r="N4" s="744" t="s">
        <v>1288</v>
      </c>
      <c r="O4" s="744" t="s">
        <v>1289</v>
      </c>
      <c r="P4" s="744" t="s">
        <v>1290</v>
      </c>
      <c r="Q4" s="744" t="s">
        <v>1291</v>
      </c>
      <c r="R4" s="744" t="s">
        <v>1292</v>
      </c>
    </row>
    <row r="5" spans="2:18" ht="15" customHeight="1">
      <c r="B5" s="169"/>
      <c r="C5" s="168"/>
      <c r="D5" s="170"/>
      <c r="E5" s="954" t="s">
        <v>1465</v>
      </c>
      <c r="F5" s="954" t="s">
        <v>1466</v>
      </c>
      <c r="G5" s="954" t="s">
        <v>1467</v>
      </c>
      <c r="H5" s="954" t="s">
        <v>1293</v>
      </c>
      <c r="I5" s="954" t="s">
        <v>1294</v>
      </c>
      <c r="J5" s="954" t="s">
        <v>1295</v>
      </c>
      <c r="K5" s="954" t="s">
        <v>1468</v>
      </c>
      <c r="L5" s="954" t="s">
        <v>1469</v>
      </c>
      <c r="M5" s="949" t="s">
        <v>325</v>
      </c>
      <c r="N5" s="949" t="s">
        <v>326</v>
      </c>
      <c r="O5" s="954" t="s">
        <v>1283</v>
      </c>
      <c r="P5" s="954" t="s">
        <v>1284</v>
      </c>
      <c r="Q5" s="954" t="s">
        <v>1296</v>
      </c>
      <c r="R5" s="954" t="s">
        <v>1297</v>
      </c>
    </row>
    <row r="6" spans="2:18" ht="13.8">
      <c r="B6" s="169"/>
      <c r="C6" s="168"/>
      <c r="D6" s="170"/>
      <c r="E6" s="954"/>
      <c r="F6" s="954"/>
      <c r="G6" s="954"/>
      <c r="H6" s="954"/>
      <c r="I6" s="954"/>
      <c r="J6" s="954"/>
      <c r="K6" s="954" t="s">
        <v>1298</v>
      </c>
      <c r="L6" s="954" t="s">
        <v>1298</v>
      </c>
      <c r="M6" s="960"/>
      <c r="N6" s="960"/>
      <c r="O6" s="954" t="s">
        <v>363</v>
      </c>
      <c r="P6" s="954" t="s">
        <v>387</v>
      </c>
      <c r="Q6" s="954" t="s">
        <v>540</v>
      </c>
      <c r="R6" s="954"/>
    </row>
    <row r="7" spans="2:18" ht="24.75" customHeight="1">
      <c r="B7" s="792" t="s">
        <v>244</v>
      </c>
      <c r="C7" s="792" t="s">
        <v>61</v>
      </c>
      <c r="D7" s="792" t="s">
        <v>1299</v>
      </c>
      <c r="E7" s="955"/>
      <c r="F7" s="955"/>
      <c r="G7" s="955"/>
      <c r="H7" s="955"/>
      <c r="I7" s="955"/>
      <c r="J7" s="955"/>
      <c r="K7" s="955" t="s">
        <v>259</v>
      </c>
      <c r="L7" s="955" t="s">
        <v>259</v>
      </c>
      <c r="M7" s="961"/>
      <c r="N7" s="961"/>
      <c r="O7" s="955" t="s">
        <v>386</v>
      </c>
      <c r="P7" s="955" t="s">
        <v>386</v>
      </c>
      <c r="Q7" s="955" t="s">
        <v>542</v>
      </c>
      <c r="R7" s="955" t="s">
        <v>257</v>
      </c>
    </row>
    <row r="8" spans="2:18" ht="13.8">
      <c r="B8" s="251">
        <v>1</v>
      </c>
      <c r="C8" s="793">
        <v>182.3</v>
      </c>
      <c r="D8" s="794" t="s">
        <v>1300</v>
      </c>
      <c r="E8" s="790">
        <f>'1.5.1a-TCJA RBAM'!E14</f>
        <v>0</v>
      </c>
      <c r="F8" s="790">
        <f>'1.5.1a-TCJA RBAM'!F14</f>
        <v>3444198</v>
      </c>
      <c r="G8" s="790">
        <f t="shared" ref="G8:G13" si="0">E8+F8</f>
        <v>3444198</v>
      </c>
      <c r="H8" s="790">
        <f>'1.5.1a-TCJA RBAM'!H14</f>
        <v>132625</v>
      </c>
      <c r="I8" s="790">
        <f>'1.5.1a-TCJA RBAM'!I14</f>
        <v>0</v>
      </c>
      <c r="J8" s="790">
        <f>'1.5.1a-TCJA RBAM'!J14</f>
        <v>0</v>
      </c>
      <c r="K8" s="790">
        <f>'1.5.1a-TCJA RBAM'!K14</f>
        <v>3311573</v>
      </c>
      <c r="L8" s="790">
        <f>'1.5.1a-TCJA RBAM'!L14</f>
        <v>3377885.5</v>
      </c>
      <c r="M8" s="790">
        <f>'1.5.1a-TCJA RBAM'!M16</f>
        <v>0</v>
      </c>
      <c r="N8" s="790">
        <f>'1.5.1a-TCJA RBAM'!N16</f>
        <v>0</v>
      </c>
      <c r="O8" s="790">
        <f>'1.5.1a-TCJA RBAM'!O16</f>
        <v>262086.71755631352</v>
      </c>
      <c r="P8" s="790">
        <f>'1.5.1a-TCJA RBAM'!P16</f>
        <v>0</v>
      </c>
      <c r="Q8" s="250">
        <f t="shared" ref="Q8:Q13" si="1">SUM(M8:P8)</f>
        <v>262086.71755631352</v>
      </c>
      <c r="R8" s="795"/>
    </row>
    <row r="9" spans="2:18" ht="13.8">
      <c r="B9" s="251">
        <f>B8+1</f>
        <v>2</v>
      </c>
      <c r="C9" s="387"/>
      <c r="D9" s="388"/>
      <c r="E9" s="389"/>
      <c r="F9" s="389"/>
      <c r="G9" s="790">
        <f t="shared" si="0"/>
        <v>0</v>
      </c>
      <c r="H9" s="790">
        <f>G9-K9-J9</f>
        <v>0</v>
      </c>
      <c r="I9" s="389"/>
      <c r="J9" s="389"/>
      <c r="K9" s="389"/>
      <c r="L9" s="389"/>
      <c r="M9" s="389"/>
      <c r="N9" s="389"/>
      <c r="O9" s="389"/>
      <c r="P9" s="389"/>
      <c r="Q9" s="250">
        <f t="shared" si="1"/>
        <v>0</v>
      </c>
      <c r="R9" s="794"/>
    </row>
    <row r="10" spans="2:18" ht="13.8">
      <c r="B10" s="251">
        <f t="shared" ref="B10:B60" si="2">B9+1</f>
        <v>3</v>
      </c>
      <c r="C10" s="387"/>
      <c r="D10" s="388"/>
      <c r="E10" s="389"/>
      <c r="F10" s="389"/>
      <c r="G10" s="790">
        <f t="shared" si="0"/>
        <v>0</v>
      </c>
      <c r="H10" s="790">
        <f>G10-K10-J10</f>
        <v>0</v>
      </c>
      <c r="I10" s="389"/>
      <c r="J10" s="389"/>
      <c r="K10" s="389"/>
      <c r="L10" s="389"/>
      <c r="M10" s="389"/>
      <c r="N10" s="389"/>
      <c r="O10" s="389"/>
      <c r="P10" s="389"/>
      <c r="Q10" s="250">
        <f t="shared" si="1"/>
        <v>0</v>
      </c>
      <c r="R10" s="794"/>
    </row>
    <row r="11" spans="2:18" ht="13.8">
      <c r="B11" s="251">
        <f t="shared" si="2"/>
        <v>4</v>
      </c>
      <c r="C11" s="387"/>
      <c r="D11" s="388"/>
      <c r="E11" s="389"/>
      <c r="F11" s="389"/>
      <c r="G11" s="790">
        <f t="shared" si="0"/>
        <v>0</v>
      </c>
      <c r="H11" s="790">
        <f>G11-K11-J11</f>
        <v>0</v>
      </c>
      <c r="I11" s="389"/>
      <c r="J11" s="389"/>
      <c r="K11" s="389"/>
      <c r="L11" s="389"/>
      <c r="M11" s="389"/>
      <c r="N11" s="389"/>
      <c r="O11" s="389"/>
      <c r="P11" s="389"/>
      <c r="Q11" s="250">
        <f t="shared" si="1"/>
        <v>0</v>
      </c>
      <c r="R11" s="794"/>
    </row>
    <row r="12" spans="2:18" ht="13.8">
      <c r="B12" s="251">
        <f t="shared" si="2"/>
        <v>5</v>
      </c>
      <c r="C12" s="387"/>
      <c r="D12" s="388"/>
      <c r="E12" s="389"/>
      <c r="F12" s="389"/>
      <c r="G12" s="790">
        <f t="shared" si="0"/>
        <v>0</v>
      </c>
      <c r="H12" s="790">
        <f>G12-K12-J12</f>
        <v>0</v>
      </c>
      <c r="I12" s="389"/>
      <c r="J12" s="389"/>
      <c r="K12" s="389"/>
      <c r="L12" s="389"/>
      <c r="M12" s="389"/>
      <c r="N12" s="389"/>
      <c r="O12" s="389"/>
      <c r="P12" s="389"/>
      <c r="Q12" s="250">
        <f t="shared" si="1"/>
        <v>0</v>
      </c>
      <c r="R12" s="794"/>
    </row>
    <row r="13" spans="2:18" ht="13.8">
      <c r="B13" s="251">
        <f t="shared" si="2"/>
        <v>6</v>
      </c>
      <c r="C13" s="387"/>
      <c r="D13" s="388"/>
      <c r="E13" s="389"/>
      <c r="F13" s="389"/>
      <c r="G13" s="790">
        <f t="shared" si="0"/>
        <v>0</v>
      </c>
      <c r="H13" s="790">
        <f>G13-K13-J13</f>
        <v>0</v>
      </c>
      <c r="I13" s="389"/>
      <c r="J13" s="389"/>
      <c r="K13" s="389"/>
      <c r="L13" s="389"/>
      <c r="M13" s="389"/>
      <c r="N13" s="389"/>
      <c r="O13" s="389"/>
      <c r="P13" s="389"/>
      <c r="Q13" s="250">
        <f t="shared" si="1"/>
        <v>0</v>
      </c>
      <c r="R13" s="794"/>
    </row>
    <row r="14" spans="2:18" ht="13.8">
      <c r="B14" s="251">
        <f t="shared" si="2"/>
        <v>7</v>
      </c>
      <c r="C14" s="168"/>
      <c r="D14" s="170"/>
      <c r="E14" s="175"/>
      <c r="F14" s="175"/>
      <c r="G14" s="175"/>
      <c r="H14" s="175"/>
      <c r="I14" s="175"/>
      <c r="J14" s="175"/>
      <c r="K14" s="175"/>
      <c r="L14" s="175"/>
      <c r="M14" s="175"/>
      <c r="N14" s="175"/>
      <c r="O14" s="175"/>
      <c r="P14" s="175"/>
      <c r="Q14" s="175"/>
      <c r="R14" s="170"/>
    </row>
    <row r="15" spans="2:18" ht="13.8">
      <c r="B15" s="251">
        <f t="shared" si="2"/>
        <v>8</v>
      </c>
      <c r="C15" s="168"/>
      <c r="D15" s="176" t="s">
        <v>1301</v>
      </c>
      <c r="E15" s="175">
        <f t="shared" ref="E15:P15" si="3">SUM(E8:E13)</f>
        <v>0</v>
      </c>
      <c r="F15" s="175">
        <f t="shared" si="3"/>
        <v>3444198</v>
      </c>
      <c r="G15" s="175">
        <f t="shared" si="3"/>
        <v>3444198</v>
      </c>
      <c r="H15" s="175">
        <f t="shared" si="3"/>
        <v>132625</v>
      </c>
      <c r="I15" s="175">
        <f t="shared" si="3"/>
        <v>0</v>
      </c>
      <c r="J15" s="175">
        <f t="shared" si="3"/>
        <v>0</v>
      </c>
      <c r="K15" s="175">
        <f t="shared" si="3"/>
        <v>3311573</v>
      </c>
      <c r="L15" s="175">
        <f t="shared" si="3"/>
        <v>3377885.5</v>
      </c>
      <c r="M15" s="175">
        <f t="shared" si="3"/>
        <v>0</v>
      </c>
      <c r="N15" s="175">
        <f t="shared" si="3"/>
        <v>0</v>
      </c>
      <c r="O15" s="175">
        <f t="shared" si="3"/>
        <v>262086.71755631352</v>
      </c>
      <c r="P15" s="175">
        <f t="shared" si="3"/>
        <v>0</v>
      </c>
      <c r="Q15" s="510">
        <f>SUM(Q8:Q14)</f>
        <v>262086.71755631352</v>
      </c>
      <c r="R15" s="170"/>
    </row>
    <row r="16" spans="2:18" ht="13.8">
      <c r="B16" s="251">
        <f t="shared" si="2"/>
        <v>9</v>
      </c>
      <c r="C16" s="383"/>
      <c r="D16" s="176"/>
      <c r="E16" s="796"/>
      <c r="F16" s="796"/>
      <c r="G16" s="796"/>
      <c r="H16" s="796"/>
      <c r="I16" s="796"/>
      <c r="J16" s="796"/>
      <c r="K16" s="796"/>
      <c r="L16" s="796"/>
      <c r="M16" s="797"/>
      <c r="N16" s="797"/>
      <c r="O16" s="797"/>
      <c r="P16" s="797"/>
      <c r="Q16" s="395"/>
      <c r="R16" s="170"/>
    </row>
    <row r="17" spans="2:18" ht="13.8">
      <c r="B17" s="251">
        <f t="shared" si="2"/>
        <v>10</v>
      </c>
      <c r="C17" s="793">
        <v>182.3</v>
      </c>
      <c r="D17" s="794" t="s">
        <v>1300</v>
      </c>
      <c r="E17" s="790">
        <f>'1.5.1a-TCJA RBAM'!E33</f>
        <v>0</v>
      </c>
      <c r="F17" s="790">
        <f>'1.5.1a-TCJA RBAM'!F33</f>
        <v>1753722</v>
      </c>
      <c r="G17" s="790">
        <f t="shared" ref="G17:G22" si="4">E17+F17</f>
        <v>1753722</v>
      </c>
      <c r="H17" s="790">
        <f>'1.5.1a-TCJA RBAM'!H33</f>
        <v>338365</v>
      </c>
      <c r="I17" s="790">
        <f>'1.5.1a-TCJA RBAM'!I33</f>
        <v>0</v>
      </c>
      <c r="J17" s="790">
        <f>'1.5.1a-TCJA RBAM'!J33</f>
        <v>0</v>
      </c>
      <c r="K17" s="790">
        <f>'1.5.1a-TCJA RBAM'!K33</f>
        <v>1415357</v>
      </c>
      <c r="L17" s="790">
        <f>'1.5.1a-TCJA RBAM'!L33</f>
        <v>1584539.5</v>
      </c>
      <c r="M17" s="790">
        <f>'1.5.1a-TCJA RBAM'!M37</f>
        <v>0</v>
      </c>
      <c r="N17" s="790">
        <f>'1.5.1a-TCJA RBAM'!N37</f>
        <v>0</v>
      </c>
      <c r="O17" s="790">
        <f>'1.5.1a-TCJA RBAM'!O37</f>
        <v>0</v>
      </c>
      <c r="P17" s="790">
        <f>'1.5.1a-TCJA RBAM'!P37</f>
        <v>0</v>
      </c>
      <c r="Q17" s="250">
        <f t="shared" ref="Q17:Q22" si="5">SUM(M17:P17)</f>
        <v>0</v>
      </c>
      <c r="R17" s="794"/>
    </row>
    <row r="18" spans="2:18" ht="13.8">
      <c r="B18" s="251">
        <f t="shared" si="2"/>
        <v>11</v>
      </c>
      <c r="C18" s="387"/>
      <c r="D18" s="388"/>
      <c r="E18" s="389"/>
      <c r="F18" s="389"/>
      <c r="G18" s="790">
        <f t="shared" si="4"/>
        <v>0</v>
      </c>
      <c r="H18" s="790">
        <f>G18-K18-J18</f>
        <v>0</v>
      </c>
      <c r="I18" s="389"/>
      <c r="J18" s="389"/>
      <c r="K18" s="389"/>
      <c r="L18" s="389"/>
      <c r="M18" s="389"/>
      <c r="N18" s="389"/>
      <c r="O18" s="389"/>
      <c r="P18" s="389"/>
      <c r="Q18" s="250">
        <f t="shared" si="5"/>
        <v>0</v>
      </c>
      <c r="R18" s="794"/>
    </row>
    <row r="19" spans="2:18" ht="13.8">
      <c r="B19" s="251">
        <f t="shared" si="2"/>
        <v>12</v>
      </c>
      <c r="C19" s="387"/>
      <c r="D19" s="388"/>
      <c r="E19" s="389"/>
      <c r="F19" s="389"/>
      <c r="G19" s="790">
        <f t="shared" si="4"/>
        <v>0</v>
      </c>
      <c r="H19" s="790">
        <f>G19-K19-J19</f>
        <v>0</v>
      </c>
      <c r="I19" s="389"/>
      <c r="J19" s="389"/>
      <c r="K19" s="389"/>
      <c r="L19" s="389"/>
      <c r="M19" s="389"/>
      <c r="N19" s="389"/>
      <c r="O19" s="389"/>
      <c r="P19" s="389"/>
      <c r="Q19" s="250">
        <f t="shared" si="5"/>
        <v>0</v>
      </c>
      <c r="R19" s="794"/>
    </row>
    <row r="20" spans="2:18" ht="13.8">
      <c r="B20" s="251">
        <f t="shared" si="2"/>
        <v>13</v>
      </c>
      <c r="C20" s="387"/>
      <c r="D20" s="388"/>
      <c r="E20" s="389"/>
      <c r="F20" s="389"/>
      <c r="G20" s="790">
        <f t="shared" si="4"/>
        <v>0</v>
      </c>
      <c r="H20" s="790">
        <f>G20-K20-J20</f>
        <v>0</v>
      </c>
      <c r="I20" s="389"/>
      <c r="J20" s="389"/>
      <c r="K20" s="389"/>
      <c r="L20" s="389"/>
      <c r="M20" s="389"/>
      <c r="N20" s="389"/>
      <c r="O20" s="389"/>
      <c r="P20" s="389"/>
      <c r="Q20" s="250">
        <f t="shared" si="5"/>
        <v>0</v>
      </c>
      <c r="R20" s="794"/>
    </row>
    <row r="21" spans="2:18" ht="13.8">
      <c r="B21" s="251">
        <f t="shared" si="2"/>
        <v>14</v>
      </c>
      <c r="C21" s="387"/>
      <c r="D21" s="388"/>
      <c r="E21" s="389"/>
      <c r="F21" s="389"/>
      <c r="G21" s="790">
        <f t="shared" si="4"/>
        <v>0</v>
      </c>
      <c r="H21" s="790">
        <f>G21-K21-J21</f>
        <v>0</v>
      </c>
      <c r="I21" s="389"/>
      <c r="J21" s="389"/>
      <c r="K21" s="389"/>
      <c r="L21" s="389"/>
      <c r="M21" s="389"/>
      <c r="N21" s="389"/>
      <c r="O21" s="389"/>
      <c r="P21" s="389"/>
      <c r="Q21" s="250">
        <f t="shared" si="5"/>
        <v>0</v>
      </c>
      <c r="R21" s="794"/>
    </row>
    <row r="22" spans="2:18" ht="13.8">
      <c r="B22" s="251">
        <f t="shared" si="2"/>
        <v>15</v>
      </c>
      <c r="C22" s="387"/>
      <c r="D22" s="388"/>
      <c r="E22" s="389"/>
      <c r="F22" s="389"/>
      <c r="G22" s="790">
        <f t="shared" si="4"/>
        <v>0</v>
      </c>
      <c r="H22" s="790">
        <f>G22-K22-J22</f>
        <v>0</v>
      </c>
      <c r="I22" s="389"/>
      <c r="J22" s="389"/>
      <c r="K22" s="389"/>
      <c r="L22" s="389"/>
      <c r="M22" s="389"/>
      <c r="N22" s="389"/>
      <c r="O22" s="389"/>
      <c r="P22" s="389"/>
      <c r="Q22" s="250">
        <f t="shared" si="5"/>
        <v>0</v>
      </c>
      <c r="R22" s="794"/>
    </row>
    <row r="23" spans="2:18" ht="13.8">
      <c r="B23" s="251">
        <f t="shared" si="2"/>
        <v>16</v>
      </c>
      <c r="C23" s="168"/>
      <c r="D23" s="170"/>
      <c r="E23" s="175"/>
      <c r="F23" s="175"/>
      <c r="G23" s="175"/>
      <c r="H23" s="175"/>
      <c r="I23" s="175"/>
      <c r="J23" s="175"/>
      <c r="K23" s="175"/>
      <c r="L23" s="175"/>
      <c r="M23" s="175"/>
      <c r="N23" s="175"/>
      <c r="O23" s="175"/>
      <c r="P23" s="175"/>
      <c r="Q23" s="175"/>
      <c r="R23" s="170"/>
    </row>
    <row r="24" spans="2:18" ht="13.8">
      <c r="B24" s="251">
        <f t="shared" si="2"/>
        <v>17</v>
      </c>
      <c r="C24" s="168"/>
      <c r="D24" s="176" t="s">
        <v>1302</v>
      </c>
      <c r="E24" s="175">
        <f t="shared" ref="E24:P24" si="6">SUM(E17:E22)</f>
        <v>0</v>
      </c>
      <c r="F24" s="175">
        <f t="shared" si="6"/>
        <v>1753722</v>
      </c>
      <c r="G24" s="175">
        <f t="shared" si="6"/>
        <v>1753722</v>
      </c>
      <c r="H24" s="175">
        <f>SUM(H17:H22)</f>
        <v>338365</v>
      </c>
      <c r="I24" s="175">
        <f t="shared" si="6"/>
        <v>0</v>
      </c>
      <c r="J24" s="175">
        <f t="shared" si="6"/>
        <v>0</v>
      </c>
      <c r="K24" s="175">
        <f t="shared" si="6"/>
        <v>1415357</v>
      </c>
      <c r="L24" s="175">
        <f t="shared" si="6"/>
        <v>1584539.5</v>
      </c>
      <c r="M24" s="175">
        <f t="shared" si="6"/>
        <v>0</v>
      </c>
      <c r="N24" s="175">
        <f t="shared" si="6"/>
        <v>0</v>
      </c>
      <c r="O24" s="175">
        <f t="shared" si="6"/>
        <v>0</v>
      </c>
      <c r="P24" s="175">
        <f t="shared" si="6"/>
        <v>0</v>
      </c>
      <c r="Q24" s="510">
        <f>SUM(Q17:Q23)</f>
        <v>0</v>
      </c>
    </row>
    <row r="25" spans="2:18" ht="13.8">
      <c r="B25" s="251">
        <f t="shared" si="2"/>
        <v>18</v>
      </c>
      <c r="C25" s="168"/>
      <c r="D25" s="176" t="s">
        <v>1303</v>
      </c>
      <c r="E25" s="175"/>
      <c r="F25" s="175">
        <f>F15+F24</f>
        <v>5197920</v>
      </c>
      <c r="G25" s="175"/>
      <c r="H25" s="175"/>
      <c r="I25" s="175"/>
      <c r="J25" s="175"/>
      <c r="K25" s="175">
        <f>K15+K24</f>
        <v>4726930</v>
      </c>
      <c r="L25" s="175"/>
      <c r="M25" s="175"/>
      <c r="N25" s="175"/>
      <c r="O25" s="175"/>
      <c r="P25" s="175"/>
      <c r="Q25" s="175"/>
      <c r="R25" s="170"/>
    </row>
    <row r="26" spans="2:18" ht="13.8">
      <c r="B26" s="251">
        <f t="shared" si="2"/>
        <v>19</v>
      </c>
      <c r="C26" s="168"/>
      <c r="D26" s="176" t="s">
        <v>1304</v>
      </c>
      <c r="E26" s="175"/>
      <c r="F26" s="175">
        <f>+Inputs!D245</f>
        <v>1381725</v>
      </c>
      <c r="G26" s="175"/>
      <c r="H26" s="175"/>
      <c r="I26" s="798"/>
      <c r="J26" s="798"/>
      <c r="K26" s="799">
        <f>+Inputs!D246</f>
        <v>1256524</v>
      </c>
      <c r="L26" s="175"/>
      <c r="M26" s="175"/>
      <c r="N26" s="175"/>
      <c r="O26" s="175"/>
      <c r="P26" s="175"/>
      <c r="Q26" s="175"/>
      <c r="R26" s="170"/>
    </row>
    <row r="27" spans="2:18" ht="14.4" thickBot="1">
      <c r="B27" s="251">
        <f t="shared" si="2"/>
        <v>20</v>
      </c>
      <c r="C27" s="168"/>
      <c r="D27" s="176" t="s">
        <v>1305</v>
      </c>
      <c r="E27" s="175"/>
      <c r="F27" s="800">
        <f>SUM(F25:F26)</f>
        <v>6579645</v>
      </c>
      <c r="G27" s="175"/>
      <c r="H27" s="175"/>
      <c r="I27" s="175"/>
      <c r="J27" s="175"/>
      <c r="K27" s="800">
        <f>SUM(K25:K26)</f>
        <v>5983454</v>
      </c>
      <c r="L27" s="175"/>
      <c r="M27" s="175"/>
      <c r="N27" s="175"/>
      <c r="O27" s="175"/>
      <c r="P27" s="175"/>
      <c r="Q27" s="175"/>
      <c r="R27" s="170"/>
    </row>
    <row r="28" spans="2:18" ht="28.2" thickBot="1">
      <c r="B28" s="251">
        <f t="shared" si="2"/>
        <v>21</v>
      </c>
      <c r="C28" s="168"/>
      <c r="D28" s="731" t="s">
        <v>1591</v>
      </c>
      <c r="E28" s="232"/>
      <c r="F28" s="801">
        <f>+Inputs!D247</f>
        <v>6579645</v>
      </c>
      <c r="G28" s="802"/>
      <c r="H28" s="232"/>
      <c r="I28" s="232"/>
      <c r="J28" s="232"/>
      <c r="K28" s="801">
        <f>+Inputs!D248</f>
        <v>5983454</v>
      </c>
      <c r="L28" s="232"/>
      <c r="M28" s="175"/>
      <c r="N28" s="175"/>
      <c r="O28" s="175"/>
      <c r="P28" s="175"/>
      <c r="Q28" s="175"/>
    </row>
    <row r="29" spans="2:18" ht="14.4" thickBot="1">
      <c r="B29" s="251">
        <f t="shared" si="2"/>
        <v>22</v>
      </c>
      <c r="C29" s="383"/>
      <c r="D29" s="176"/>
      <c r="E29" s="796"/>
      <c r="F29" s="796"/>
      <c r="G29" s="796"/>
      <c r="H29" s="796"/>
      <c r="I29" s="796"/>
      <c r="J29" s="796"/>
      <c r="K29" s="796"/>
      <c r="L29" s="796"/>
      <c r="M29" s="797"/>
      <c r="N29" s="797"/>
      <c r="O29" s="797"/>
      <c r="P29" s="797"/>
      <c r="Q29" s="803"/>
      <c r="R29" s="170"/>
    </row>
    <row r="30" spans="2:18" ht="28.2" thickBot="1">
      <c r="B30" s="251">
        <f t="shared" si="2"/>
        <v>23</v>
      </c>
      <c r="C30" s="168"/>
      <c r="D30" s="731" t="s">
        <v>1470</v>
      </c>
      <c r="E30" s="175"/>
      <c r="F30" s="175"/>
      <c r="G30" s="175"/>
      <c r="H30" s="175"/>
      <c r="I30" s="175"/>
      <c r="J30" s="175"/>
      <c r="K30" s="175"/>
      <c r="L30" s="175"/>
      <c r="M30" s="175"/>
      <c r="N30" s="175"/>
      <c r="O30" s="175"/>
      <c r="P30" s="175"/>
      <c r="Q30" s="511">
        <f>Q15+Q24</f>
        <v>262086.71755631352</v>
      </c>
      <c r="R30" s="170" t="s">
        <v>1306</v>
      </c>
    </row>
    <row r="31" spans="2:18" ht="13.8">
      <c r="B31" s="251">
        <f t="shared" si="2"/>
        <v>24</v>
      </c>
      <c r="C31" s="168"/>
      <c r="D31" s="176"/>
      <c r="E31" s="175"/>
      <c r="F31" s="175"/>
      <c r="G31" s="175"/>
      <c r="H31" s="175"/>
      <c r="I31" s="175"/>
      <c r="J31" s="175"/>
      <c r="K31" s="175"/>
      <c r="L31" s="175"/>
      <c r="M31" s="175"/>
      <c r="N31" s="175"/>
      <c r="O31" s="175"/>
      <c r="P31" s="175"/>
      <c r="Q31" s="175"/>
      <c r="R31" s="170"/>
    </row>
    <row r="32" spans="2:18" ht="28.2" customHeight="1">
      <c r="B32" s="251">
        <f t="shared" si="2"/>
        <v>25</v>
      </c>
      <c r="C32" s="793">
        <v>254</v>
      </c>
      <c r="D32" s="794" t="s">
        <v>1300</v>
      </c>
      <c r="E32" s="790">
        <f>'1.5.1a-TCJA RBAM'!E48</f>
        <v>0</v>
      </c>
      <c r="F32" s="790">
        <f>'1.5.1a-TCJA RBAM'!F48</f>
        <v>-12563149</v>
      </c>
      <c r="G32" s="790">
        <f t="shared" ref="G32:G37" si="7">E32+F32</f>
        <v>-12563149</v>
      </c>
      <c r="H32" s="790">
        <f>'1.5.1a-TCJA RBAM'!H48</f>
        <v>-671115</v>
      </c>
      <c r="I32" s="790">
        <f>'1.5.1a-TCJA RBAM'!I48</f>
        <v>0</v>
      </c>
      <c r="J32" s="790">
        <f>'1.5.1a-TCJA RBAM'!J48</f>
        <v>0</v>
      </c>
      <c r="K32" s="790">
        <f>'1.5.1a-TCJA RBAM'!K48</f>
        <v>-11892034</v>
      </c>
      <c r="L32" s="790">
        <f>'1.5.1a-TCJA RBAM'!L48</f>
        <v>-12227591.5</v>
      </c>
      <c r="M32" s="790">
        <f>'1.5.1a-TCJA RBAM'!M50</f>
        <v>0</v>
      </c>
      <c r="N32" s="790">
        <f>'1.5.1a-TCJA RBAM'!N50</f>
        <v>0</v>
      </c>
      <c r="O32" s="790">
        <f>'1.5.1a-TCJA RBAM'!O50</f>
        <v>-961854.76722556725</v>
      </c>
      <c r="P32" s="790">
        <f>'1.5.1a-TCJA RBAM'!P50</f>
        <v>0</v>
      </c>
      <c r="Q32" s="250">
        <f t="shared" ref="Q32:Q37" si="8">SUM(M32:P32)</f>
        <v>-961854.76722556725</v>
      </c>
      <c r="R32" s="794"/>
    </row>
    <row r="33" spans="2:18" ht="13.8">
      <c r="B33" s="251">
        <f t="shared" si="2"/>
        <v>26</v>
      </c>
      <c r="C33" s="387"/>
      <c r="D33" s="388"/>
      <c r="E33" s="389"/>
      <c r="F33" s="389"/>
      <c r="G33" s="790">
        <f t="shared" si="7"/>
        <v>0</v>
      </c>
      <c r="H33" s="790">
        <f>G33-K33-J33</f>
        <v>0</v>
      </c>
      <c r="I33" s="389"/>
      <c r="J33" s="389"/>
      <c r="K33" s="389"/>
      <c r="L33" s="389"/>
      <c r="M33" s="389"/>
      <c r="N33" s="389"/>
      <c r="O33" s="389"/>
      <c r="P33" s="389"/>
      <c r="Q33" s="250">
        <f t="shared" si="8"/>
        <v>0</v>
      </c>
      <c r="R33" s="794"/>
    </row>
    <row r="34" spans="2:18" ht="13.8">
      <c r="B34" s="251">
        <f t="shared" si="2"/>
        <v>27</v>
      </c>
      <c r="C34" s="387"/>
      <c r="D34" s="388"/>
      <c r="E34" s="389"/>
      <c r="F34" s="389"/>
      <c r="G34" s="790">
        <f t="shared" si="7"/>
        <v>0</v>
      </c>
      <c r="H34" s="790">
        <f>G34-K34-J34</f>
        <v>0</v>
      </c>
      <c r="I34" s="389"/>
      <c r="J34" s="389"/>
      <c r="K34" s="389"/>
      <c r="L34" s="389"/>
      <c r="M34" s="389"/>
      <c r="N34" s="389"/>
      <c r="O34" s="389"/>
      <c r="P34" s="389"/>
      <c r="Q34" s="250">
        <f t="shared" si="8"/>
        <v>0</v>
      </c>
      <c r="R34" s="794"/>
    </row>
    <row r="35" spans="2:18" ht="13.8">
      <c r="B35" s="251">
        <f t="shared" si="2"/>
        <v>28</v>
      </c>
      <c r="C35" s="387"/>
      <c r="D35" s="388"/>
      <c r="E35" s="389"/>
      <c r="F35" s="389"/>
      <c r="G35" s="790">
        <f t="shared" si="7"/>
        <v>0</v>
      </c>
      <c r="H35" s="790">
        <f>G35-K35-J35</f>
        <v>0</v>
      </c>
      <c r="I35" s="389"/>
      <c r="J35" s="389"/>
      <c r="K35" s="389"/>
      <c r="L35" s="389"/>
      <c r="M35" s="389"/>
      <c r="N35" s="389"/>
      <c r="O35" s="389"/>
      <c r="P35" s="389"/>
      <c r="Q35" s="250">
        <f t="shared" si="8"/>
        <v>0</v>
      </c>
      <c r="R35" s="794"/>
    </row>
    <row r="36" spans="2:18" ht="13.8">
      <c r="B36" s="251">
        <f t="shared" si="2"/>
        <v>29</v>
      </c>
      <c r="C36" s="387"/>
      <c r="D36" s="388"/>
      <c r="E36" s="389"/>
      <c r="F36" s="389"/>
      <c r="G36" s="790">
        <f t="shared" si="7"/>
        <v>0</v>
      </c>
      <c r="H36" s="790">
        <f>G36-K36-J36</f>
        <v>0</v>
      </c>
      <c r="I36" s="389"/>
      <c r="J36" s="389"/>
      <c r="K36" s="389"/>
      <c r="L36" s="389"/>
      <c r="M36" s="389"/>
      <c r="N36" s="389"/>
      <c r="O36" s="389"/>
      <c r="P36" s="389"/>
      <c r="Q36" s="250">
        <f t="shared" si="8"/>
        <v>0</v>
      </c>
      <c r="R36" s="794"/>
    </row>
    <row r="37" spans="2:18" ht="13.8">
      <c r="B37" s="251">
        <f t="shared" si="2"/>
        <v>30</v>
      </c>
      <c r="C37" s="387"/>
      <c r="D37" s="388"/>
      <c r="E37" s="389"/>
      <c r="F37" s="389"/>
      <c r="G37" s="790">
        <f t="shared" si="7"/>
        <v>0</v>
      </c>
      <c r="H37" s="790">
        <f>G37-K37-J37</f>
        <v>0</v>
      </c>
      <c r="I37" s="389"/>
      <c r="J37" s="389"/>
      <c r="K37" s="389"/>
      <c r="L37" s="389"/>
      <c r="M37" s="389"/>
      <c r="N37" s="389"/>
      <c r="O37" s="389"/>
      <c r="P37" s="389"/>
      <c r="Q37" s="250">
        <f t="shared" si="8"/>
        <v>0</v>
      </c>
      <c r="R37" s="794"/>
    </row>
    <row r="38" spans="2:18" ht="13.8">
      <c r="B38" s="251">
        <f t="shared" si="2"/>
        <v>31</v>
      </c>
      <c r="C38" s="382"/>
      <c r="D38" s="170"/>
      <c r="E38" s="175"/>
      <c r="F38" s="175"/>
      <c r="G38" s="175"/>
      <c r="H38" s="175"/>
      <c r="I38" s="175"/>
      <c r="J38" s="175"/>
      <c r="K38" s="175"/>
      <c r="L38" s="175"/>
      <c r="M38" s="175"/>
      <c r="N38" s="175"/>
      <c r="O38" s="175"/>
      <c r="P38" s="175"/>
      <c r="Q38" s="175"/>
      <c r="R38" s="179"/>
    </row>
    <row r="39" spans="2:18" ht="13.8">
      <c r="B39" s="251">
        <f t="shared" si="2"/>
        <v>32</v>
      </c>
      <c r="C39" s="382"/>
      <c r="D39" s="176" t="s">
        <v>1307</v>
      </c>
      <c r="E39" s="175">
        <f t="shared" ref="E39:P39" si="9">SUM(E32:E37)</f>
        <v>0</v>
      </c>
      <c r="F39" s="175">
        <f t="shared" si="9"/>
        <v>-12563149</v>
      </c>
      <c r="G39" s="175">
        <f t="shared" si="9"/>
        <v>-12563149</v>
      </c>
      <c r="H39" s="175">
        <f t="shared" si="9"/>
        <v>-671115</v>
      </c>
      <c r="I39" s="175">
        <f t="shared" si="9"/>
        <v>0</v>
      </c>
      <c r="J39" s="175">
        <f t="shared" si="9"/>
        <v>0</v>
      </c>
      <c r="K39" s="175">
        <f t="shared" si="9"/>
        <v>-11892034</v>
      </c>
      <c r="L39" s="175">
        <f t="shared" si="9"/>
        <v>-12227591.5</v>
      </c>
      <c r="M39" s="175">
        <f t="shared" si="9"/>
        <v>0</v>
      </c>
      <c r="N39" s="175">
        <f t="shared" si="9"/>
        <v>0</v>
      </c>
      <c r="O39" s="175">
        <f t="shared" si="9"/>
        <v>-961854.76722556725</v>
      </c>
      <c r="P39" s="175">
        <f t="shared" si="9"/>
        <v>0</v>
      </c>
      <c r="Q39" s="510">
        <f>SUM(Q32:Q37)</f>
        <v>-961854.76722556725</v>
      </c>
      <c r="R39" s="179"/>
    </row>
    <row r="40" spans="2:18" ht="13.8">
      <c r="B40" s="251">
        <f t="shared" si="2"/>
        <v>33</v>
      </c>
      <c r="C40" s="382"/>
      <c r="D40" s="176"/>
      <c r="E40" s="796"/>
      <c r="F40" s="796"/>
      <c r="G40" s="796"/>
      <c r="H40" s="796"/>
      <c r="I40" s="796"/>
      <c r="J40" s="796"/>
      <c r="K40" s="796"/>
      <c r="L40" s="796"/>
      <c r="M40" s="797"/>
      <c r="N40" s="797"/>
      <c r="O40" s="797"/>
      <c r="P40" s="797"/>
      <c r="Q40" s="395"/>
      <c r="R40" s="179"/>
    </row>
    <row r="41" spans="2:18" ht="13.8">
      <c r="B41" s="251">
        <f t="shared" si="2"/>
        <v>34</v>
      </c>
      <c r="C41" s="793">
        <v>254</v>
      </c>
      <c r="D41" s="794" t="s">
        <v>1300</v>
      </c>
      <c r="E41" s="790">
        <f>'1.5.1a-TCJA RBAM'!E62</f>
        <v>0</v>
      </c>
      <c r="F41" s="790">
        <f>'1.5.1a-TCJA RBAM'!F62</f>
        <v>-15460566</v>
      </c>
      <c r="G41" s="790">
        <f t="shared" ref="G41:G46" si="10">E41+F41</f>
        <v>-15460566</v>
      </c>
      <c r="H41" s="790">
        <f>'1.5.1a-TCJA RBAM'!H62</f>
        <v>-601960</v>
      </c>
      <c r="I41" s="790">
        <f>'1.5.1a-TCJA RBAM'!I62</f>
        <v>0</v>
      </c>
      <c r="J41" s="790">
        <f>'1.5.1a-TCJA RBAM'!J62</f>
        <v>0</v>
      </c>
      <c r="K41" s="790">
        <f>'1.5.1a-TCJA RBAM'!K62</f>
        <v>-14858606</v>
      </c>
      <c r="L41" s="790">
        <f>'1.5.1a-TCJA RBAM'!L62</f>
        <v>-15159586</v>
      </c>
      <c r="M41" s="790">
        <f>'1.5.1a-TCJA RBAM'!M66</f>
        <v>0</v>
      </c>
      <c r="N41" s="790">
        <f>'1.5.1a-TCJA RBAM'!N66</f>
        <v>0</v>
      </c>
      <c r="O41" s="790">
        <f>'1.5.1a-TCJA RBAM'!O66</f>
        <v>-881934.49794280715</v>
      </c>
      <c r="P41" s="790">
        <f>'1.5.1a-TCJA RBAM'!P66</f>
        <v>0</v>
      </c>
      <c r="Q41" s="250">
        <f t="shared" ref="Q41:Q46" si="11">SUM(M41:P41)</f>
        <v>-881934.49794280715</v>
      </c>
      <c r="R41" s="794"/>
    </row>
    <row r="42" spans="2:18" ht="13.8">
      <c r="B42" s="251">
        <f t="shared" si="2"/>
        <v>35</v>
      </c>
      <c r="C42" s="387"/>
      <c r="D42" s="388"/>
      <c r="E42" s="389"/>
      <c r="F42" s="389"/>
      <c r="G42" s="790">
        <f t="shared" si="10"/>
        <v>0</v>
      </c>
      <c r="H42" s="790">
        <f>G42-K42-J42</f>
        <v>0</v>
      </c>
      <c r="I42" s="389"/>
      <c r="J42" s="389"/>
      <c r="K42" s="389"/>
      <c r="L42" s="389"/>
      <c r="M42" s="389"/>
      <c r="N42" s="389"/>
      <c r="O42" s="389"/>
      <c r="P42" s="389"/>
      <c r="Q42" s="250">
        <f t="shared" si="11"/>
        <v>0</v>
      </c>
      <c r="R42" s="794"/>
    </row>
    <row r="43" spans="2:18" ht="13.8">
      <c r="B43" s="251">
        <f t="shared" si="2"/>
        <v>36</v>
      </c>
      <c r="C43" s="387"/>
      <c r="D43" s="388"/>
      <c r="E43" s="389"/>
      <c r="F43" s="389"/>
      <c r="G43" s="790">
        <f t="shared" si="10"/>
        <v>0</v>
      </c>
      <c r="H43" s="790">
        <f>G43-K43-J43</f>
        <v>0</v>
      </c>
      <c r="I43" s="389"/>
      <c r="J43" s="389"/>
      <c r="K43" s="389"/>
      <c r="L43" s="389"/>
      <c r="M43" s="389"/>
      <c r="N43" s="389"/>
      <c r="O43" s="389"/>
      <c r="P43" s="389"/>
      <c r="Q43" s="250">
        <f t="shared" si="11"/>
        <v>0</v>
      </c>
      <c r="R43" s="794"/>
    </row>
    <row r="44" spans="2:18" ht="13.8">
      <c r="B44" s="251">
        <f t="shared" si="2"/>
        <v>37</v>
      </c>
      <c r="C44" s="387"/>
      <c r="D44" s="388"/>
      <c r="E44" s="389"/>
      <c r="F44" s="389"/>
      <c r="G44" s="790">
        <f t="shared" si="10"/>
        <v>0</v>
      </c>
      <c r="H44" s="790">
        <f>G44-K44-J44</f>
        <v>0</v>
      </c>
      <c r="I44" s="389"/>
      <c r="J44" s="389"/>
      <c r="K44" s="389"/>
      <c r="L44" s="389"/>
      <c r="M44" s="389"/>
      <c r="N44" s="389"/>
      <c r="O44" s="389"/>
      <c r="P44" s="389"/>
      <c r="Q44" s="250">
        <f t="shared" si="11"/>
        <v>0</v>
      </c>
      <c r="R44" s="794"/>
    </row>
    <row r="45" spans="2:18" ht="13.8">
      <c r="B45" s="251">
        <f t="shared" si="2"/>
        <v>38</v>
      </c>
      <c r="C45" s="387"/>
      <c r="D45" s="388"/>
      <c r="E45" s="389"/>
      <c r="F45" s="389"/>
      <c r="G45" s="790">
        <f t="shared" si="10"/>
        <v>0</v>
      </c>
      <c r="H45" s="790">
        <f>G45-K45-J45</f>
        <v>0</v>
      </c>
      <c r="I45" s="389"/>
      <c r="J45" s="389"/>
      <c r="K45" s="389"/>
      <c r="L45" s="389"/>
      <c r="M45" s="389"/>
      <c r="N45" s="389"/>
      <c r="O45" s="389"/>
      <c r="P45" s="389"/>
      <c r="Q45" s="250">
        <f t="shared" si="11"/>
        <v>0</v>
      </c>
      <c r="R45" s="794"/>
    </row>
    <row r="46" spans="2:18" ht="13.8">
      <c r="B46" s="251">
        <f t="shared" si="2"/>
        <v>39</v>
      </c>
      <c r="C46" s="387"/>
      <c r="D46" s="388"/>
      <c r="E46" s="389"/>
      <c r="F46" s="389"/>
      <c r="G46" s="790">
        <f t="shared" si="10"/>
        <v>0</v>
      </c>
      <c r="H46" s="790">
        <f>G46-K46-J46</f>
        <v>0</v>
      </c>
      <c r="I46" s="389"/>
      <c r="J46" s="389"/>
      <c r="K46" s="389"/>
      <c r="L46" s="389"/>
      <c r="M46" s="389"/>
      <c r="N46" s="389"/>
      <c r="O46" s="389"/>
      <c r="P46" s="389"/>
      <c r="Q46" s="250">
        <f t="shared" si="11"/>
        <v>0</v>
      </c>
      <c r="R46" s="794"/>
    </row>
    <row r="47" spans="2:18" ht="13.8">
      <c r="B47" s="251">
        <f t="shared" si="2"/>
        <v>40</v>
      </c>
      <c r="C47" s="174"/>
      <c r="D47" s="170"/>
      <c r="E47" s="175"/>
      <c r="F47" s="175"/>
      <c r="G47" s="175"/>
      <c r="H47" s="175"/>
      <c r="I47" s="175"/>
      <c r="J47" s="175"/>
      <c r="K47" s="175"/>
      <c r="L47" s="175"/>
      <c r="M47" s="175"/>
      <c r="N47" s="175"/>
      <c r="O47" s="175"/>
      <c r="P47" s="175"/>
      <c r="Q47" s="175"/>
      <c r="R47" s="170"/>
    </row>
    <row r="48" spans="2:18" ht="13.8">
      <c r="B48" s="251">
        <f t="shared" si="2"/>
        <v>41</v>
      </c>
      <c r="C48" s="174"/>
      <c r="D48" s="176" t="s">
        <v>1308</v>
      </c>
      <c r="E48" s="175">
        <f t="shared" ref="E48:P48" si="12">SUM(E41:E46)</f>
        <v>0</v>
      </c>
      <c r="F48" s="175">
        <f t="shared" si="12"/>
        <v>-15460566</v>
      </c>
      <c r="G48" s="175">
        <f t="shared" si="12"/>
        <v>-15460566</v>
      </c>
      <c r="H48" s="175">
        <f t="shared" si="12"/>
        <v>-601960</v>
      </c>
      <c r="I48" s="175">
        <f t="shared" si="12"/>
        <v>0</v>
      </c>
      <c r="J48" s="175">
        <f t="shared" si="12"/>
        <v>0</v>
      </c>
      <c r="K48" s="175">
        <f t="shared" si="12"/>
        <v>-14858606</v>
      </c>
      <c r="L48" s="175">
        <f t="shared" si="12"/>
        <v>-15159586</v>
      </c>
      <c r="M48" s="175">
        <f t="shared" si="12"/>
        <v>0</v>
      </c>
      <c r="N48" s="175">
        <f t="shared" si="12"/>
        <v>0</v>
      </c>
      <c r="O48" s="175">
        <f t="shared" si="12"/>
        <v>-881934.49794280715</v>
      </c>
      <c r="P48" s="175">
        <f t="shared" si="12"/>
        <v>0</v>
      </c>
      <c r="Q48" s="510">
        <f>SUM(Q41:Q46)</f>
        <v>-881934.49794280715</v>
      </c>
      <c r="R48" s="170"/>
    </row>
    <row r="49" spans="2:18" ht="13.8">
      <c r="B49" s="251">
        <f t="shared" si="2"/>
        <v>42</v>
      </c>
      <c r="C49" s="174"/>
      <c r="D49" s="176" t="s">
        <v>1309</v>
      </c>
      <c r="E49" s="175"/>
      <c r="F49" s="175">
        <f>F39+F48</f>
        <v>-28023715</v>
      </c>
      <c r="G49" s="175"/>
      <c r="H49" s="175"/>
      <c r="I49" s="175"/>
      <c r="J49" s="175"/>
      <c r="K49" s="175">
        <f>K39+K48</f>
        <v>-26750640</v>
      </c>
      <c r="L49" s="175"/>
      <c r="M49" s="175"/>
      <c r="N49" s="175"/>
      <c r="O49" s="175"/>
      <c r="P49" s="175"/>
      <c r="Q49" s="175"/>
      <c r="R49" s="170"/>
    </row>
    <row r="50" spans="2:18" ht="13.8">
      <c r="B50" s="251">
        <f t="shared" si="2"/>
        <v>43</v>
      </c>
      <c r="C50" s="174"/>
      <c r="D50" s="176" t="s">
        <v>1304</v>
      </c>
      <c r="E50" s="175"/>
      <c r="F50" s="175">
        <f>+Inputs!D249</f>
        <v>-7449341</v>
      </c>
      <c r="G50" s="175"/>
      <c r="H50" s="175"/>
      <c r="I50" s="798"/>
      <c r="J50" s="798"/>
      <c r="K50" s="799">
        <f>+Inputs!D250</f>
        <v>-7110930</v>
      </c>
      <c r="L50" s="175"/>
      <c r="M50" s="175"/>
      <c r="N50" s="175"/>
      <c r="O50" s="175"/>
      <c r="P50" s="175"/>
      <c r="Q50" s="175"/>
      <c r="R50" s="170"/>
    </row>
    <row r="51" spans="2:18" ht="14.4" thickBot="1">
      <c r="B51" s="251">
        <f t="shared" si="2"/>
        <v>44</v>
      </c>
      <c r="C51" s="174"/>
      <c r="D51" s="176" t="s">
        <v>1310</v>
      </c>
      <c r="E51" s="175"/>
      <c r="F51" s="800">
        <f>SUM(F49:F50)</f>
        <v>-35473056</v>
      </c>
      <c r="G51" s="175"/>
      <c r="H51" s="175"/>
      <c r="I51" s="175"/>
      <c r="J51" s="175"/>
      <c r="K51" s="800">
        <f>SUM(K49:K50)</f>
        <v>-33861570</v>
      </c>
      <c r="L51" s="175"/>
      <c r="M51" s="175"/>
      <c r="N51" s="175"/>
      <c r="O51" s="175"/>
      <c r="P51" s="175"/>
      <c r="Q51" s="175"/>
      <c r="R51" s="170"/>
    </row>
    <row r="52" spans="2:18" ht="28.2" thickBot="1">
      <c r="B52" s="251">
        <f t="shared" si="2"/>
        <v>45</v>
      </c>
      <c r="C52" s="174"/>
      <c r="D52" s="731" t="s">
        <v>1612</v>
      </c>
      <c r="E52" s="232"/>
      <c r="F52" s="801">
        <f>+Inputs!D251</f>
        <v>-35473056</v>
      </c>
      <c r="G52" s="232"/>
      <c r="H52" s="232"/>
      <c r="I52" s="232"/>
      <c r="J52" s="232"/>
      <c r="K52" s="801">
        <f>+Inputs!D252</f>
        <v>-33861570</v>
      </c>
      <c r="L52" s="232"/>
      <c r="M52" s="175"/>
      <c r="N52" s="175"/>
      <c r="O52" s="175"/>
      <c r="P52" s="175"/>
      <c r="Q52" s="175"/>
      <c r="R52" s="395"/>
    </row>
    <row r="53" spans="2:18" ht="14.4" thickBot="1">
      <c r="B53" s="251">
        <f t="shared" si="2"/>
        <v>46</v>
      </c>
      <c r="C53" s="174"/>
      <c r="D53" s="176"/>
      <c r="E53" s="796"/>
      <c r="F53" s="796"/>
      <c r="G53" s="796"/>
      <c r="H53" s="796"/>
      <c r="I53" s="796"/>
      <c r="J53" s="796"/>
      <c r="K53" s="796"/>
      <c r="L53" s="796"/>
      <c r="M53" s="797"/>
      <c r="N53" s="797"/>
      <c r="O53" s="797"/>
      <c r="P53" s="797"/>
      <c r="Q53" s="395"/>
      <c r="R53" s="170"/>
    </row>
    <row r="54" spans="2:18" ht="28.2" thickBot="1">
      <c r="B54" s="251">
        <f t="shared" si="2"/>
        <v>47</v>
      </c>
      <c r="D54" s="731" t="s">
        <v>1505</v>
      </c>
      <c r="E54" s="175"/>
      <c r="F54" s="175"/>
      <c r="G54" s="175"/>
      <c r="H54" s="175"/>
      <c r="I54" s="175"/>
      <c r="J54" s="175"/>
      <c r="K54" s="175"/>
      <c r="L54" s="175"/>
      <c r="M54" s="175"/>
      <c r="N54" s="175"/>
      <c r="O54" s="175"/>
      <c r="P54" s="175"/>
      <c r="Q54" s="511">
        <f>+Q39+Q48</f>
        <v>-1843789.2651683744</v>
      </c>
      <c r="R54" s="170" t="s">
        <v>1311</v>
      </c>
    </row>
    <row r="55" spans="2:18" ht="13.8">
      <c r="B55" s="251">
        <f t="shared" si="2"/>
        <v>48</v>
      </c>
      <c r="D55" s="731"/>
      <c r="E55" s="175"/>
      <c r="F55" s="175"/>
      <c r="G55" s="175"/>
      <c r="H55" s="175"/>
      <c r="I55" s="175"/>
      <c r="J55" s="175"/>
      <c r="K55" s="175"/>
      <c r="L55" s="175"/>
      <c r="M55" s="175"/>
      <c r="N55" s="175"/>
      <c r="O55" s="175"/>
      <c r="P55" s="175"/>
      <c r="Q55" s="175"/>
      <c r="R55" s="170"/>
    </row>
    <row r="56" spans="2:18" ht="15" customHeight="1">
      <c r="B56" s="251">
        <f t="shared" si="2"/>
        <v>49</v>
      </c>
      <c r="D56" s="962" t="s">
        <v>1472</v>
      </c>
      <c r="E56" s="962"/>
      <c r="F56" s="962"/>
      <c r="G56" s="962"/>
      <c r="H56" s="962"/>
      <c r="I56" s="962"/>
      <c r="J56" s="962"/>
      <c r="K56" s="175"/>
      <c r="L56" s="175"/>
      <c r="M56" s="175"/>
      <c r="N56" s="175"/>
      <c r="O56" s="175"/>
      <c r="P56" s="175"/>
      <c r="Q56" s="175"/>
      <c r="R56" s="170"/>
    </row>
    <row r="57" spans="2:18" ht="13.8">
      <c r="B57" s="251">
        <f t="shared" si="2"/>
        <v>50</v>
      </c>
      <c r="D57" s="732"/>
      <c r="E57" s="732"/>
      <c r="F57" s="732"/>
      <c r="G57" s="732"/>
      <c r="H57" s="732"/>
      <c r="I57" s="732"/>
      <c r="J57" s="732"/>
      <c r="K57" s="175"/>
      <c r="L57" s="175"/>
      <c r="M57" s="175"/>
      <c r="N57" s="175"/>
      <c r="O57" s="175"/>
      <c r="P57" s="175"/>
      <c r="Q57" s="175"/>
      <c r="R57" s="170"/>
    </row>
    <row r="58" spans="2:18" ht="13.8">
      <c r="B58" s="251">
        <f t="shared" si="2"/>
        <v>51</v>
      </c>
      <c r="D58" s="962" t="s">
        <v>1436</v>
      </c>
      <c r="E58" s="962"/>
      <c r="F58" s="962"/>
      <c r="G58" s="962"/>
      <c r="H58" s="962"/>
      <c r="I58" s="962"/>
      <c r="J58" s="962"/>
      <c r="K58" s="175"/>
      <c r="L58" s="175"/>
      <c r="M58" s="175"/>
      <c r="N58" s="175"/>
      <c r="O58" s="175"/>
      <c r="P58" s="175"/>
      <c r="Q58" s="175"/>
      <c r="R58" s="170"/>
    </row>
    <row r="59" spans="2:18" ht="13.8">
      <c r="B59" s="251">
        <f t="shared" si="2"/>
        <v>52</v>
      </c>
      <c r="D59" s="732"/>
      <c r="E59" s="732"/>
      <c r="F59" s="732"/>
      <c r="G59" s="732"/>
      <c r="H59" s="732"/>
      <c r="I59" s="732"/>
      <c r="J59" s="732"/>
      <c r="K59" s="175"/>
      <c r="L59" s="175"/>
      <c r="M59" s="175"/>
      <c r="N59" s="175"/>
      <c r="O59" s="175"/>
      <c r="P59" s="175"/>
      <c r="Q59" s="175"/>
      <c r="R59" s="170"/>
    </row>
    <row r="60" spans="2:18" ht="13.8">
      <c r="B60" s="251">
        <f t="shared" si="2"/>
        <v>53</v>
      </c>
      <c r="D60" s="962" t="s">
        <v>1437</v>
      </c>
      <c r="E60" s="962"/>
      <c r="F60" s="962"/>
      <c r="G60" s="962"/>
      <c r="H60" s="962"/>
      <c r="I60" s="962"/>
      <c r="J60" s="962"/>
      <c r="K60" s="175"/>
      <c r="L60" s="175"/>
      <c r="M60" s="175"/>
      <c r="N60" s="175"/>
      <c r="O60" s="175"/>
      <c r="P60" s="175"/>
      <c r="Q60" s="175"/>
      <c r="R60" s="170"/>
    </row>
    <row r="61" spans="2:18" ht="13.8">
      <c r="B61" s="251"/>
      <c r="D61" s="732"/>
      <c r="E61" s="732"/>
      <c r="F61" s="732"/>
      <c r="G61" s="732"/>
      <c r="H61" s="732"/>
      <c r="I61" s="732"/>
      <c r="J61" s="732"/>
      <c r="K61" s="175"/>
      <c r="L61" s="175"/>
      <c r="M61" s="175"/>
      <c r="N61" s="175"/>
      <c r="O61" s="175"/>
      <c r="P61" s="175"/>
      <c r="Q61" s="175"/>
      <c r="R61" s="170"/>
    </row>
    <row r="62" spans="2:18" ht="13.8">
      <c r="B62" s="953" t="s">
        <v>1312</v>
      </c>
      <c r="C62" s="953"/>
      <c r="D62" s="953"/>
      <c r="E62" s="953"/>
      <c r="F62" s="953"/>
      <c r="G62" s="953"/>
      <c r="H62" s="953"/>
      <c r="I62" s="953"/>
      <c r="J62" s="953"/>
      <c r="K62" s="953"/>
      <c r="L62" s="953"/>
      <c r="M62" s="953"/>
      <c r="N62" s="953"/>
      <c r="O62" s="953"/>
      <c r="P62" s="953"/>
      <c r="Q62" s="953"/>
      <c r="R62" s="953"/>
    </row>
    <row r="63" spans="2:18" ht="13.8">
      <c r="B63" s="943" t="s">
        <v>504</v>
      </c>
      <c r="C63" s="943"/>
      <c r="D63" s="943"/>
      <c r="E63" s="943"/>
      <c r="F63" s="943"/>
      <c r="G63" s="943"/>
      <c r="H63" s="943"/>
      <c r="I63" s="943"/>
      <c r="J63" s="943"/>
      <c r="K63" s="943"/>
      <c r="L63" s="943"/>
      <c r="M63" s="943"/>
      <c r="N63" s="943"/>
      <c r="O63" s="943"/>
      <c r="P63" s="943"/>
      <c r="Q63" s="943"/>
      <c r="R63" s="943"/>
    </row>
  </sheetData>
  <mergeCells count="21">
    <mergeCell ref="D56:J56"/>
    <mergeCell ref="D58:J58"/>
    <mergeCell ref="D60:J60"/>
    <mergeCell ref="B62:R62"/>
    <mergeCell ref="B63:R63"/>
    <mergeCell ref="R5:R7"/>
    <mergeCell ref="B1:R1"/>
    <mergeCell ref="B2:R2"/>
    <mergeCell ref="E5:E7"/>
    <mergeCell ref="F5:F7"/>
    <mergeCell ref="G5:G7"/>
    <mergeCell ref="H5:H7"/>
    <mergeCell ref="I5:I7"/>
    <mergeCell ref="J5:J7"/>
    <mergeCell ref="K5:K7"/>
    <mergeCell ref="L5:L7"/>
    <mergeCell ref="M5:M7"/>
    <mergeCell ref="N5:N7"/>
    <mergeCell ref="O5:O7"/>
    <mergeCell ref="P5:P7"/>
    <mergeCell ref="Q5:Q7"/>
  </mergeCells>
  <printOptions horizontalCentered="1"/>
  <pageMargins left="0.7" right="0.7" top="0.75" bottom="0.75" header="0.3" footer="0.3"/>
  <pageSetup scale="38" orientation="landscape" r:id="rId1"/>
  <headerFooter>
    <oddHeader>&amp;C&amp;"Arial,Bold"ADDENDUM 27 TO ATTACHMENT H, Page &amp;P of &amp;N
NorthWestern Corporation (South Dakota)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81"/>
  <sheetViews>
    <sheetView topLeftCell="A36" zoomScale="91" zoomScaleNormal="91" workbookViewId="0"/>
  </sheetViews>
  <sheetFormatPr defaultRowHeight="13.2"/>
  <cols>
    <col min="1" max="1" width="2" style="791" customWidth="1"/>
    <col min="2" max="2" width="5.6640625" style="791" customWidth="1"/>
    <col min="3" max="3" width="8.33203125" style="804" customWidth="1"/>
    <col min="4" max="4" width="51.33203125" style="791" customWidth="1"/>
    <col min="5" max="5" width="22.88671875" style="791" customWidth="1"/>
    <col min="6" max="6" width="20" style="791" customWidth="1"/>
    <col min="7" max="7" width="21.109375" style="791" customWidth="1"/>
    <col min="8" max="8" width="15.88671875" style="791" customWidth="1"/>
    <col min="9" max="9" width="14.6640625" style="791" customWidth="1"/>
    <col min="10" max="10" width="14.5546875" style="791" customWidth="1"/>
    <col min="11" max="12" width="19" style="791" customWidth="1"/>
    <col min="13" max="13" width="16.44140625" style="791" customWidth="1"/>
    <col min="14" max="14" width="13.88671875" style="791" customWidth="1"/>
    <col min="15" max="15" width="18.109375" style="791" bestFit="1" customWidth="1"/>
    <col min="16" max="16" width="12.6640625" style="791" customWidth="1"/>
    <col min="17" max="17" width="14.33203125" style="791" customWidth="1"/>
    <col min="18" max="18" width="26.5546875" style="791" customWidth="1"/>
    <col min="19" max="256" width="9.109375" style="791"/>
    <col min="257" max="257" width="2" style="791" customWidth="1"/>
    <col min="258" max="258" width="5.6640625" style="791" customWidth="1"/>
    <col min="259" max="259" width="8.33203125" style="791" customWidth="1"/>
    <col min="260" max="260" width="51.33203125" style="791" customWidth="1"/>
    <col min="261" max="261" width="22.88671875" style="791" customWidth="1"/>
    <col min="262" max="262" width="24.44140625" style="791" customWidth="1"/>
    <col min="263" max="263" width="29.88671875" style="791" customWidth="1"/>
    <col min="264" max="265" width="22.88671875" style="791" customWidth="1"/>
    <col min="266" max="266" width="20.44140625" style="791" customWidth="1"/>
    <col min="267" max="268" width="19" style="791" customWidth="1"/>
    <col min="269" max="269" width="16.44140625" style="791" customWidth="1"/>
    <col min="270" max="271" width="16.5546875" style="791" customWidth="1"/>
    <col min="272" max="272" width="12.6640625" style="791" customWidth="1"/>
    <col min="273" max="273" width="14.33203125" style="791" customWidth="1"/>
    <col min="274" max="274" width="49" style="791" customWidth="1"/>
    <col min="275" max="512" width="9.109375" style="791"/>
    <col min="513" max="513" width="2" style="791" customWidth="1"/>
    <col min="514" max="514" width="5.6640625" style="791" customWidth="1"/>
    <col min="515" max="515" width="8.33203125" style="791" customWidth="1"/>
    <col min="516" max="516" width="51.33203125" style="791" customWidth="1"/>
    <col min="517" max="517" width="22.88671875" style="791" customWidth="1"/>
    <col min="518" max="518" width="24.44140625" style="791" customWidth="1"/>
    <col min="519" max="519" width="29.88671875" style="791" customWidth="1"/>
    <col min="520" max="521" width="22.88671875" style="791" customWidth="1"/>
    <col min="522" max="522" width="20.44140625" style="791" customWidth="1"/>
    <col min="523" max="524" width="19" style="791" customWidth="1"/>
    <col min="525" max="525" width="16.44140625" style="791" customWidth="1"/>
    <col min="526" max="527" width="16.5546875" style="791" customWidth="1"/>
    <col min="528" max="528" width="12.6640625" style="791" customWidth="1"/>
    <col min="529" max="529" width="14.33203125" style="791" customWidth="1"/>
    <col min="530" max="530" width="49" style="791" customWidth="1"/>
    <col min="531" max="768" width="9.109375" style="791"/>
    <col min="769" max="769" width="2" style="791" customWidth="1"/>
    <col min="770" max="770" width="5.6640625" style="791" customWidth="1"/>
    <col min="771" max="771" width="8.33203125" style="791" customWidth="1"/>
    <col min="772" max="772" width="51.33203125" style="791" customWidth="1"/>
    <col min="773" max="773" width="22.88671875" style="791" customWidth="1"/>
    <col min="774" max="774" width="24.44140625" style="791" customWidth="1"/>
    <col min="775" max="775" width="29.88671875" style="791" customWidth="1"/>
    <col min="776" max="777" width="22.88671875" style="791" customWidth="1"/>
    <col min="778" max="778" width="20.44140625" style="791" customWidth="1"/>
    <col min="779" max="780" width="19" style="791" customWidth="1"/>
    <col min="781" max="781" width="16.44140625" style="791" customWidth="1"/>
    <col min="782" max="783" width="16.5546875" style="791" customWidth="1"/>
    <col min="784" max="784" width="12.6640625" style="791" customWidth="1"/>
    <col min="785" max="785" width="14.33203125" style="791" customWidth="1"/>
    <col min="786" max="786" width="49" style="791" customWidth="1"/>
    <col min="787" max="1024" width="9.109375" style="791"/>
    <col min="1025" max="1025" width="2" style="791" customWidth="1"/>
    <col min="1026" max="1026" width="5.6640625" style="791" customWidth="1"/>
    <col min="1027" max="1027" width="8.33203125" style="791" customWidth="1"/>
    <col min="1028" max="1028" width="51.33203125" style="791" customWidth="1"/>
    <col min="1029" max="1029" width="22.88671875" style="791" customWidth="1"/>
    <col min="1030" max="1030" width="24.44140625" style="791" customWidth="1"/>
    <col min="1031" max="1031" width="29.88671875" style="791" customWidth="1"/>
    <col min="1032" max="1033" width="22.88671875" style="791" customWidth="1"/>
    <col min="1034" max="1034" width="20.44140625" style="791" customWidth="1"/>
    <col min="1035" max="1036" width="19" style="791" customWidth="1"/>
    <col min="1037" max="1037" width="16.44140625" style="791" customWidth="1"/>
    <col min="1038" max="1039" width="16.5546875" style="791" customWidth="1"/>
    <col min="1040" max="1040" width="12.6640625" style="791" customWidth="1"/>
    <col min="1041" max="1041" width="14.33203125" style="791" customWidth="1"/>
    <col min="1042" max="1042" width="49" style="791" customWidth="1"/>
    <col min="1043" max="1280" width="9.109375" style="791"/>
    <col min="1281" max="1281" width="2" style="791" customWidth="1"/>
    <col min="1282" max="1282" width="5.6640625" style="791" customWidth="1"/>
    <col min="1283" max="1283" width="8.33203125" style="791" customWidth="1"/>
    <col min="1284" max="1284" width="51.33203125" style="791" customWidth="1"/>
    <col min="1285" max="1285" width="22.88671875" style="791" customWidth="1"/>
    <col min="1286" max="1286" width="24.44140625" style="791" customWidth="1"/>
    <col min="1287" max="1287" width="29.88671875" style="791" customWidth="1"/>
    <col min="1288" max="1289" width="22.88671875" style="791" customWidth="1"/>
    <col min="1290" max="1290" width="20.44140625" style="791" customWidth="1"/>
    <col min="1291" max="1292" width="19" style="791" customWidth="1"/>
    <col min="1293" max="1293" width="16.44140625" style="791" customWidth="1"/>
    <col min="1294" max="1295" width="16.5546875" style="791" customWidth="1"/>
    <col min="1296" max="1296" width="12.6640625" style="791" customWidth="1"/>
    <col min="1297" max="1297" width="14.33203125" style="791" customWidth="1"/>
    <col min="1298" max="1298" width="49" style="791" customWidth="1"/>
    <col min="1299" max="1536" width="9.109375" style="791"/>
    <col min="1537" max="1537" width="2" style="791" customWidth="1"/>
    <col min="1538" max="1538" width="5.6640625" style="791" customWidth="1"/>
    <col min="1539" max="1539" width="8.33203125" style="791" customWidth="1"/>
    <col min="1540" max="1540" width="51.33203125" style="791" customWidth="1"/>
    <col min="1541" max="1541" width="22.88671875" style="791" customWidth="1"/>
    <col min="1542" max="1542" width="24.44140625" style="791" customWidth="1"/>
    <col min="1543" max="1543" width="29.88671875" style="791" customWidth="1"/>
    <col min="1544" max="1545" width="22.88671875" style="791" customWidth="1"/>
    <col min="1546" max="1546" width="20.44140625" style="791" customWidth="1"/>
    <col min="1547" max="1548" width="19" style="791" customWidth="1"/>
    <col min="1549" max="1549" width="16.44140625" style="791" customWidth="1"/>
    <col min="1550" max="1551" width="16.5546875" style="791" customWidth="1"/>
    <col min="1552" max="1552" width="12.6640625" style="791" customWidth="1"/>
    <col min="1553" max="1553" width="14.33203125" style="791" customWidth="1"/>
    <col min="1554" max="1554" width="49" style="791" customWidth="1"/>
    <col min="1555" max="1792" width="9.109375" style="791"/>
    <col min="1793" max="1793" width="2" style="791" customWidth="1"/>
    <col min="1794" max="1794" width="5.6640625" style="791" customWidth="1"/>
    <col min="1795" max="1795" width="8.33203125" style="791" customWidth="1"/>
    <col min="1796" max="1796" width="51.33203125" style="791" customWidth="1"/>
    <col min="1797" max="1797" width="22.88671875" style="791" customWidth="1"/>
    <col min="1798" max="1798" width="24.44140625" style="791" customWidth="1"/>
    <col min="1799" max="1799" width="29.88671875" style="791" customWidth="1"/>
    <col min="1800" max="1801" width="22.88671875" style="791" customWidth="1"/>
    <col min="1802" max="1802" width="20.44140625" style="791" customWidth="1"/>
    <col min="1803" max="1804" width="19" style="791" customWidth="1"/>
    <col min="1805" max="1805" width="16.44140625" style="791" customWidth="1"/>
    <col min="1806" max="1807" width="16.5546875" style="791" customWidth="1"/>
    <col min="1808" max="1808" width="12.6640625" style="791" customWidth="1"/>
    <col min="1809" max="1809" width="14.33203125" style="791" customWidth="1"/>
    <col min="1810" max="1810" width="49" style="791" customWidth="1"/>
    <col min="1811" max="2048" width="9.109375" style="791"/>
    <col min="2049" max="2049" width="2" style="791" customWidth="1"/>
    <col min="2050" max="2050" width="5.6640625" style="791" customWidth="1"/>
    <col min="2051" max="2051" width="8.33203125" style="791" customWidth="1"/>
    <col min="2052" max="2052" width="51.33203125" style="791" customWidth="1"/>
    <col min="2053" max="2053" width="22.88671875" style="791" customWidth="1"/>
    <col min="2054" max="2054" width="24.44140625" style="791" customWidth="1"/>
    <col min="2055" max="2055" width="29.88671875" style="791" customWidth="1"/>
    <col min="2056" max="2057" width="22.88671875" style="791" customWidth="1"/>
    <col min="2058" max="2058" width="20.44140625" style="791" customWidth="1"/>
    <col min="2059" max="2060" width="19" style="791" customWidth="1"/>
    <col min="2061" max="2061" width="16.44140625" style="791" customWidth="1"/>
    <col min="2062" max="2063" width="16.5546875" style="791" customWidth="1"/>
    <col min="2064" max="2064" width="12.6640625" style="791" customWidth="1"/>
    <col min="2065" max="2065" width="14.33203125" style="791" customWidth="1"/>
    <col min="2066" max="2066" width="49" style="791" customWidth="1"/>
    <col min="2067" max="2304" width="9.109375" style="791"/>
    <col min="2305" max="2305" width="2" style="791" customWidth="1"/>
    <col min="2306" max="2306" width="5.6640625" style="791" customWidth="1"/>
    <col min="2307" max="2307" width="8.33203125" style="791" customWidth="1"/>
    <col min="2308" max="2308" width="51.33203125" style="791" customWidth="1"/>
    <col min="2309" max="2309" width="22.88671875" style="791" customWidth="1"/>
    <col min="2310" max="2310" width="24.44140625" style="791" customWidth="1"/>
    <col min="2311" max="2311" width="29.88671875" style="791" customWidth="1"/>
    <col min="2312" max="2313" width="22.88671875" style="791" customWidth="1"/>
    <col min="2314" max="2314" width="20.44140625" style="791" customWidth="1"/>
    <col min="2315" max="2316" width="19" style="791" customWidth="1"/>
    <col min="2317" max="2317" width="16.44140625" style="791" customWidth="1"/>
    <col min="2318" max="2319" width="16.5546875" style="791" customWidth="1"/>
    <col min="2320" max="2320" width="12.6640625" style="791" customWidth="1"/>
    <col min="2321" max="2321" width="14.33203125" style="791" customWidth="1"/>
    <col min="2322" max="2322" width="49" style="791" customWidth="1"/>
    <col min="2323" max="2560" width="9.109375" style="791"/>
    <col min="2561" max="2561" width="2" style="791" customWidth="1"/>
    <col min="2562" max="2562" width="5.6640625" style="791" customWidth="1"/>
    <col min="2563" max="2563" width="8.33203125" style="791" customWidth="1"/>
    <col min="2564" max="2564" width="51.33203125" style="791" customWidth="1"/>
    <col min="2565" max="2565" width="22.88671875" style="791" customWidth="1"/>
    <col min="2566" max="2566" width="24.44140625" style="791" customWidth="1"/>
    <col min="2567" max="2567" width="29.88671875" style="791" customWidth="1"/>
    <col min="2568" max="2569" width="22.88671875" style="791" customWidth="1"/>
    <col min="2570" max="2570" width="20.44140625" style="791" customWidth="1"/>
    <col min="2571" max="2572" width="19" style="791" customWidth="1"/>
    <col min="2573" max="2573" width="16.44140625" style="791" customWidth="1"/>
    <col min="2574" max="2575" width="16.5546875" style="791" customWidth="1"/>
    <col min="2576" max="2576" width="12.6640625" style="791" customWidth="1"/>
    <col min="2577" max="2577" width="14.33203125" style="791" customWidth="1"/>
    <col min="2578" max="2578" width="49" style="791" customWidth="1"/>
    <col min="2579" max="2816" width="9.109375" style="791"/>
    <col min="2817" max="2817" width="2" style="791" customWidth="1"/>
    <col min="2818" max="2818" width="5.6640625" style="791" customWidth="1"/>
    <col min="2819" max="2819" width="8.33203125" style="791" customWidth="1"/>
    <col min="2820" max="2820" width="51.33203125" style="791" customWidth="1"/>
    <col min="2821" max="2821" width="22.88671875" style="791" customWidth="1"/>
    <col min="2822" max="2822" width="24.44140625" style="791" customWidth="1"/>
    <col min="2823" max="2823" width="29.88671875" style="791" customWidth="1"/>
    <col min="2824" max="2825" width="22.88671875" style="791" customWidth="1"/>
    <col min="2826" max="2826" width="20.44140625" style="791" customWidth="1"/>
    <col min="2827" max="2828" width="19" style="791" customWidth="1"/>
    <col min="2829" max="2829" width="16.44140625" style="791" customWidth="1"/>
    <col min="2830" max="2831" width="16.5546875" style="791" customWidth="1"/>
    <col min="2832" max="2832" width="12.6640625" style="791" customWidth="1"/>
    <col min="2833" max="2833" width="14.33203125" style="791" customWidth="1"/>
    <col min="2834" max="2834" width="49" style="791" customWidth="1"/>
    <col min="2835" max="3072" width="9.109375" style="791"/>
    <col min="3073" max="3073" width="2" style="791" customWidth="1"/>
    <col min="3074" max="3074" width="5.6640625" style="791" customWidth="1"/>
    <col min="3075" max="3075" width="8.33203125" style="791" customWidth="1"/>
    <col min="3076" max="3076" width="51.33203125" style="791" customWidth="1"/>
    <col min="3077" max="3077" width="22.88671875" style="791" customWidth="1"/>
    <col min="3078" max="3078" width="24.44140625" style="791" customWidth="1"/>
    <col min="3079" max="3079" width="29.88671875" style="791" customWidth="1"/>
    <col min="3080" max="3081" width="22.88671875" style="791" customWidth="1"/>
    <col min="3082" max="3082" width="20.44140625" style="791" customWidth="1"/>
    <col min="3083" max="3084" width="19" style="791" customWidth="1"/>
    <col min="3085" max="3085" width="16.44140625" style="791" customWidth="1"/>
    <col min="3086" max="3087" width="16.5546875" style="791" customWidth="1"/>
    <col min="3088" max="3088" width="12.6640625" style="791" customWidth="1"/>
    <col min="3089" max="3089" width="14.33203125" style="791" customWidth="1"/>
    <col min="3090" max="3090" width="49" style="791" customWidth="1"/>
    <col min="3091" max="3328" width="9.109375" style="791"/>
    <col min="3329" max="3329" width="2" style="791" customWidth="1"/>
    <col min="3330" max="3330" width="5.6640625" style="791" customWidth="1"/>
    <col min="3331" max="3331" width="8.33203125" style="791" customWidth="1"/>
    <col min="3332" max="3332" width="51.33203125" style="791" customWidth="1"/>
    <col min="3333" max="3333" width="22.88671875" style="791" customWidth="1"/>
    <col min="3334" max="3334" width="24.44140625" style="791" customWidth="1"/>
    <col min="3335" max="3335" width="29.88671875" style="791" customWidth="1"/>
    <col min="3336" max="3337" width="22.88671875" style="791" customWidth="1"/>
    <col min="3338" max="3338" width="20.44140625" style="791" customWidth="1"/>
    <col min="3339" max="3340" width="19" style="791" customWidth="1"/>
    <col min="3341" max="3341" width="16.44140625" style="791" customWidth="1"/>
    <col min="3342" max="3343" width="16.5546875" style="791" customWidth="1"/>
    <col min="3344" max="3344" width="12.6640625" style="791" customWidth="1"/>
    <col min="3345" max="3345" width="14.33203125" style="791" customWidth="1"/>
    <col min="3346" max="3346" width="49" style="791" customWidth="1"/>
    <col min="3347" max="3584" width="9.109375" style="791"/>
    <col min="3585" max="3585" width="2" style="791" customWidth="1"/>
    <col min="3586" max="3586" width="5.6640625" style="791" customWidth="1"/>
    <col min="3587" max="3587" width="8.33203125" style="791" customWidth="1"/>
    <col min="3588" max="3588" width="51.33203125" style="791" customWidth="1"/>
    <col min="3589" max="3589" width="22.88671875" style="791" customWidth="1"/>
    <col min="3590" max="3590" width="24.44140625" style="791" customWidth="1"/>
    <col min="3591" max="3591" width="29.88671875" style="791" customWidth="1"/>
    <col min="3592" max="3593" width="22.88671875" style="791" customWidth="1"/>
    <col min="3594" max="3594" width="20.44140625" style="791" customWidth="1"/>
    <col min="3595" max="3596" width="19" style="791" customWidth="1"/>
    <col min="3597" max="3597" width="16.44140625" style="791" customWidth="1"/>
    <col min="3598" max="3599" width="16.5546875" style="791" customWidth="1"/>
    <col min="3600" max="3600" width="12.6640625" style="791" customWidth="1"/>
    <col min="3601" max="3601" width="14.33203125" style="791" customWidth="1"/>
    <col min="3602" max="3602" width="49" style="791" customWidth="1"/>
    <col min="3603" max="3840" width="9.109375" style="791"/>
    <col min="3841" max="3841" width="2" style="791" customWidth="1"/>
    <col min="3842" max="3842" width="5.6640625" style="791" customWidth="1"/>
    <col min="3843" max="3843" width="8.33203125" style="791" customWidth="1"/>
    <col min="3844" max="3844" width="51.33203125" style="791" customWidth="1"/>
    <col min="3845" max="3845" width="22.88671875" style="791" customWidth="1"/>
    <col min="3846" max="3846" width="24.44140625" style="791" customWidth="1"/>
    <col min="3847" max="3847" width="29.88671875" style="791" customWidth="1"/>
    <col min="3848" max="3849" width="22.88671875" style="791" customWidth="1"/>
    <col min="3850" max="3850" width="20.44140625" style="791" customWidth="1"/>
    <col min="3851" max="3852" width="19" style="791" customWidth="1"/>
    <col min="3853" max="3853" width="16.44140625" style="791" customWidth="1"/>
    <col min="3854" max="3855" width="16.5546875" style="791" customWidth="1"/>
    <col min="3856" max="3856" width="12.6640625" style="791" customWidth="1"/>
    <col min="3857" max="3857" width="14.33203125" style="791" customWidth="1"/>
    <col min="3858" max="3858" width="49" style="791" customWidth="1"/>
    <col min="3859" max="4096" width="9.109375" style="791"/>
    <col min="4097" max="4097" width="2" style="791" customWidth="1"/>
    <col min="4098" max="4098" width="5.6640625" style="791" customWidth="1"/>
    <col min="4099" max="4099" width="8.33203125" style="791" customWidth="1"/>
    <col min="4100" max="4100" width="51.33203125" style="791" customWidth="1"/>
    <col min="4101" max="4101" width="22.88671875" style="791" customWidth="1"/>
    <col min="4102" max="4102" width="24.44140625" style="791" customWidth="1"/>
    <col min="4103" max="4103" width="29.88671875" style="791" customWidth="1"/>
    <col min="4104" max="4105" width="22.88671875" style="791" customWidth="1"/>
    <col min="4106" max="4106" width="20.44140625" style="791" customWidth="1"/>
    <col min="4107" max="4108" width="19" style="791" customWidth="1"/>
    <col min="4109" max="4109" width="16.44140625" style="791" customWidth="1"/>
    <col min="4110" max="4111" width="16.5546875" style="791" customWidth="1"/>
    <col min="4112" max="4112" width="12.6640625" style="791" customWidth="1"/>
    <col min="4113" max="4113" width="14.33203125" style="791" customWidth="1"/>
    <col min="4114" max="4114" width="49" style="791" customWidth="1"/>
    <col min="4115" max="4352" width="9.109375" style="791"/>
    <col min="4353" max="4353" width="2" style="791" customWidth="1"/>
    <col min="4354" max="4354" width="5.6640625" style="791" customWidth="1"/>
    <col min="4355" max="4355" width="8.33203125" style="791" customWidth="1"/>
    <col min="4356" max="4356" width="51.33203125" style="791" customWidth="1"/>
    <col min="4357" max="4357" width="22.88671875" style="791" customWidth="1"/>
    <col min="4358" max="4358" width="24.44140625" style="791" customWidth="1"/>
    <col min="4359" max="4359" width="29.88671875" style="791" customWidth="1"/>
    <col min="4360" max="4361" width="22.88671875" style="791" customWidth="1"/>
    <col min="4362" max="4362" width="20.44140625" style="791" customWidth="1"/>
    <col min="4363" max="4364" width="19" style="791" customWidth="1"/>
    <col min="4365" max="4365" width="16.44140625" style="791" customWidth="1"/>
    <col min="4366" max="4367" width="16.5546875" style="791" customWidth="1"/>
    <col min="4368" max="4368" width="12.6640625" style="791" customWidth="1"/>
    <col min="4369" max="4369" width="14.33203125" style="791" customWidth="1"/>
    <col min="4370" max="4370" width="49" style="791" customWidth="1"/>
    <col min="4371" max="4608" width="9.109375" style="791"/>
    <col min="4609" max="4609" width="2" style="791" customWidth="1"/>
    <col min="4610" max="4610" width="5.6640625" style="791" customWidth="1"/>
    <col min="4611" max="4611" width="8.33203125" style="791" customWidth="1"/>
    <col min="4612" max="4612" width="51.33203125" style="791" customWidth="1"/>
    <col min="4613" max="4613" width="22.88671875" style="791" customWidth="1"/>
    <col min="4614" max="4614" width="24.44140625" style="791" customWidth="1"/>
    <col min="4615" max="4615" width="29.88671875" style="791" customWidth="1"/>
    <col min="4616" max="4617" width="22.88671875" style="791" customWidth="1"/>
    <col min="4618" max="4618" width="20.44140625" style="791" customWidth="1"/>
    <col min="4619" max="4620" width="19" style="791" customWidth="1"/>
    <col min="4621" max="4621" width="16.44140625" style="791" customWidth="1"/>
    <col min="4622" max="4623" width="16.5546875" style="791" customWidth="1"/>
    <col min="4624" max="4624" width="12.6640625" style="791" customWidth="1"/>
    <col min="4625" max="4625" width="14.33203125" style="791" customWidth="1"/>
    <col min="4626" max="4626" width="49" style="791" customWidth="1"/>
    <col min="4627" max="4864" width="9.109375" style="791"/>
    <col min="4865" max="4865" width="2" style="791" customWidth="1"/>
    <col min="4866" max="4866" width="5.6640625" style="791" customWidth="1"/>
    <col min="4867" max="4867" width="8.33203125" style="791" customWidth="1"/>
    <col min="4868" max="4868" width="51.33203125" style="791" customWidth="1"/>
    <col min="4869" max="4869" width="22.88671875" style="791" customWidth="1"/>
    <col min="4870" max="4870" width="24.44140625" style="791" customWidth="1"/>
    <col min="4871" max="4871" width="29.88671875" style="791" customWidth="1"/>
    <col min="4872" max="4873" width="22.88671875" style="791" customWidth="1"/>
    <col min="4874" max="4874" width="20.44140625" style="791" customWidth="1"/>
    <col min="4875" max="4876" width="19" style="791" customWidth="1"/>
    <col min="4877" max="4877" width="16.44140625" style="791" customWidth="1"/>
    <col min="4878" max="4879" width="16.5546875" style="791" customWidth="1"/>
    <col min="4880" max="4880" width="12.6640625" style="791" customWidth="1"/>
    <col min="4881" max="4881" width="14.33203125" style="791" customWidth="1"/>
    <col min="4882" max="4882" width="49" style="791" customWidth="1"/>
    <col min="4883" max="5120" width="9.109375" style="791"/>
    <col min="5121" max="5121" width="2" style="791" customWidth="1"/>
    <col min="5122" max="5122" width="5.6640625" style="791" customWidth="1"/>
    <col min="5123" max="5123" width="8.33203125" style="791" customWidth="1"/>
    <col min="5124" max="5124" width="51.33203125" style="791" customWidth="1"/>
    <col min="5125" max="5125" width="22.88671875" style="791" customWidth="1"/>
    <col min="5126" max="5126" width="24.44140625" style="791" customWidth="1"/>
    <col min="5127" max="5127" width="29.88671875" style="791" customWidth="1"/>
    <col min="5128" max="5129" width="22.88671875" style="791" customWidth="1"/>
    <col min="5130" max="5130" width="20.44140625" style="791" customWidth="1"/>
    <col min="5131" max="5132" width="19" style="791" customWidth="1"/>
    <col min="5133" max="5133" width="16.44140625" style="791" customWidth="1"/>
    <col min="5134" max="5135" width="16.5546875" style="791" customWidth="1"/>
    <col min="5136" max="5136" width="12.6640625" style="791" customWidth="1"/>
    <col min="5137" max="5137" width="14.33203125" style="791" customWidth="1"/>
    <col min="5138" max="5138" width="49" style="791" customWidth="1"/>
    <col min="5139" max="5376" width="9.109375" style="791"/>
    <col min="5377" max="5377" width="2" style="791" customWidth="1"/>
    <col min="5378" max="5378" width="5.6640625" style="791" customWidth="1"/>
    <col min="5379" max="5379" width="8.33203125" style="791" customWidth="1"/>
    <col min="5380" max="5380" width="51.33203125" style="791" customWidth="1"/>
    <col min="5381" max="5381" width="22.88671875" style="791" customWidth="1"/>
    <col min="5382" max="5382" width="24.44140625" style="791" customWidth="1"/>
    <col min="5383" max="5383" width="29.88671875" style="791" customWidth="1"/>
    <col min="5384" max="5385" width="22.88671875" style="791" customWidth="1"/>
    <col min="5386" max="5386" width="20.44140625" style="791" customWidth="1"/>
    <col min="5387" max="5388" width="19" style="791" customWidth="1"/>
    <col min="5389" max="5389" width="16.44140625" style="791" customWidth="1"/>
    <col min="5390" max="5391" width="16.5546875" style="791" customWidth="1"/>
    <col min="5392" max="5392" width="12.6640625" style="791" customWidth="1"/>
    <col min="5393" max="5393" width="14.33203125" style="791" customWidth="1"/>
    <col min="5394" max="5394" width="49" style="791" customWidth="1"/>
    <col min="5395" max="5632" width="9.109375" style="791"/>
    <col min="5633" max="5633" width="2" style="791" customWidth="1"/>
    <col min="5634" max="5634" width="5.6640625" style="791" customWidth="1"/>
    <col min="5635" max="5635" width="8.33203125" style="791" customWidth="1"/>
    <col min="5636" max="5636" width="51.33203125" style="791" customWidth="1"/>
    <col min="5637" max="5637" width="22.88671875" style="791" customWidth="1"/>
    <col min="5638" max="5638" width="24.44140625" style="791" customWidth="1"/>
    <col min="5639" max="5639" width="29.88671875" style="791" customWidth="1"/>
    <col min="5640" max="5641" width="22.88671875" style="791" customWidth="1"/>
    <col min="5642" max="5642" width="20.44140625" style="791" customWidth="1"/>
    <col min="5643" max="5644" width="19" style="791" customWidth="1"/>
    <col min="5645" max="5645" width="16.44140625" style="791" customWidth="1"/>
    <col min="5646" max="5647" width="16.5546875" style="791" customWidth="1"/>
    <col min="5648" max="5648" width="12.6640625" style="791" customWidth="1"/>
    <col min="5649" max="5649" width="14.33203125" style="791" customWidth="1"/>
    <col min="5650" max="5650" width="49" style="791" customWidth="1"/>
    <col min="5651" max="5888" width="9.109375" style="791"/>
    <col min="5889" max="5889" width="2" style="791" customWidth="1"/>
    <col min="5890" max="5890" width="5.6640625" style="791" customWidth="1"/>
    <col min="5891" max="5891" width="8.33203125" style="791" customWidth="1"/>
    <col min="5892" max="5892" width="51.33203125" style="791" customWidth="1"/>
    <col min="5893" max="5893" width="22.88671875" style="791" customWidth="1"/>
    <col min="5894" max="5894" width="24.44140625" style="791" customWidth="1"/>
    <col min="5895" max="5895" width="29.88671875" style="791" customWidth="1"/>
    <col min="5896" max="5897" width="22.88671875" style="791" customWidth="1"/>
    <col min="5898" max="5898" width="20.44140625" style="791" customWidth="1"/>
    <col min="5899" max="5900" width="19" style="791" customWidth="1"/>
    <col min="5901" max="5901" width="16.44140625" style="791" customWidth="1"/>
    <col min="5902" max="5903" width="16.5546875" style="791" customWidth="1"/>
    <col min="5904" max="5904" width="12.6640625" style="791" customWidth="1"/>
    <col min="5905" max="5905" width="14.33203125" style="791" customWidth="1"/>
    <col min="5906" max="5906" width="49" style="791" customWidth="1"/>
    <col min="5907" max="6144" width="9.109375" style="791"/>
    <col min="6145" max="6145" width="2" style="791" customWidth="1"/>
    <col min="6146" max="6146" width="5.6640625" style="791" customWidth="1"/>
    <col min="6147" max="6147" width="8.33203125" style="791" customWidth="1"/>
    <col min="6148" max="6148" width="51.33203125" style="791" customWidth="1"/>
    <col min="6149" max="6149" width="22.88671875" style="791" customWidth="1"/>
    <col min="6150" max="6150" width="24.44140625" style="791" customWidth="1"/>
    <col min="6151" max="6151" width="29.88671875" style="791" customWidth="1"/>
    <col min="6152" max="6153" width="22.88671875" style="791" customWidth="1"/>
    <col min="6154" max="6154" width="20.44140625" style="791" customWidth="1"/>
    <col min="6155" max="6156" width="19" style="791" customWidth="1"/>
    <col min="6157" max="6157" width="16.44140625" style="791" customWidth="1"/>
    <col min="6158" max="6159" width="16.5546875" style="791" customWidth="1"/>
    <col min="6160" max="6160" width="12.6640625" style="791" customWidth="1"/>
    <col min="6161" max="6161" width="14.33203125" style="791" customWidth="1"/>
    <col min="6162" max="6162" width="49" style="791" customWidth="1"/>
    <col min="6163" max="6400" width="9.109375" style="791"/>
    <col min="6401" max="6401" width="2" style="791" customWidth="1"/>
    <col min="6402" max="6402" width="5.6640625" style="791" customWidth="1"/>
    <col min="6403" max="6403" width="8.33203125" style="791" customWidth="1"/>
    <col min="6404" max="6404" width="51.33203125" style="791" customWidth="1"/>
    <col min="6405" max="6405" width="22.88671875" style="791" customWidth="1"/>
    <col min="6406" max="6406" width="24.44140625" style="791" customWidth="1"/>
    <col min="6407" max="6407" width="29.88671875" style="791" customWidth="1"/>
    <col min="6408" max="6409" width="22.88671875" style="791" customWidth="1"/>
    <col min="6410" max="6410" width="20.44140625" style="791" customWidth="1"/>
    <col min="6411" max="6412" width="19" style="791" customWidth="1"/>
    <col min="6413" max="6413" width="16.44140625" style="791" customWidth="1"/>
    <col min="6414" max="6415" width="16.5546875" style="791" customWidth="1"/>
    <col min="6416" max="6416" width="12.6640625" style="791" customWidth="1"/>
    <col min="6417" max="6417" width="14.33203125" style="791" customWidth="1"/>
    <col min="6418" max="6418" width="49" style="791" customWidth="1"/>
    <col min="6419" max="6656" width="9.109375" style="791"/>
    <col min="6657" max="6657" width="2" style="791" customWidth="1"/>
    <col min="6658" max="6658" width="5.6640625" style="791" customWidth="1"/>
    <col min="6659" max="6659" width="8.33203125" style="791" customWidth="1"/>
    <col min="6660" max="6660" width="51.33203125" style="791" customWidth="1"/>
    <col min="6661" max="6661" width="22.88671875" style="791" customWidth="1"/>
    <col min="6662" max="6662" width="24.44140625" style="791" customWidth="1"/>
    <col min="6663" max="6663" width="29.88671875" style="791" customWidth="1"/>
    <col min="6664" max="6665" width="22.88671875" style="791" customWidth="1"/>
    <col min="6666" max="6666" width="20.44140625" style="791" customWidth="1"/>
    <col min="6667" max="6668" width="19" style="791" customWidth="1"/>
    <col min="6669" max="6669" width="16.44140625" style="791" customWidth="1"/>
    <col min="6670" max="6671" width="16.5546875" style="791" customWidth="1"/>
    <col min="6672" max="6672" width="12.6640625" style="791" customWidth="1"/>
    <col min="6673" max="6673" width="14.33203125" style="791" customWidth="1"/>
    <col min="6674" max="6674" width="49" style="791" customWidth="1"/>
    <col min="6675" max="6912" width="9.109375" style="791"/>
    <col min="6913" max="6913" width="2" style="791" customWidth="1"/>
    <col min="6914" max="6914" width="5.6640625" style="791" customWidth="1"/>
    <col min="6915" max="6915" width="8.33203125" style="791" customWidth="1"/>
    <col min="6916" max="6916" width="51.33203125" style="791" customWidth="1"/>
    <col min="6917" max="6917" width="22.88671875" style="791" customWidth="1"/>
    <col min="6918" max="6918" width="24.44140625" style="791" customWidth="1"/>
    <col min="6919" max="6919" width="29.88671875" style="791" customWidth="1"/>
    <col min="6920" max="6921" width="22.88671875" style="791" customWidth="1"/>
    <col min="6922" max="6922" width="20.44140625" style="791" customWidth="1"/>
    <col min="6923" max="6924" width="19" style="791" customWidth="1"/>
    <col min="6925" max="6925" width="16.44140625" style="791" customWidth="1"/>
    <col min="6926" max="6927" width="16.5546875" style="791" customWidth="1"/>
    <col min="6928" max="6928" width="12.6640625" style="791" customWidth="1"/>
    <col min="6929" max="6929" width="14.33203125" style="791" customWidth="1"/>
    <col min="6930" max="6930" width="49" style="791" customWidth="1"/>
    <col min="6931" max="7168" width="9.109375" style="791"/>
    <col min="7169" max="7169" width="2" style="791" customWidth="1"/>
    <col min="7170" max="7170" width="5.6640625" style="791" customWidth="1"/>
    <col min="7171" max="7171" width="8.33203125" style="791" customWidth="1"/>
    <col min="7172" max="7172" width="51.33203125" style="791" customWidth="1"/>
    <col min="7173" max="7173" width="22.88671875" style="791" customWidth="1"/>
    <col min="7174" max="7174" width="24.44140625" style="791" customWidth="1"/>
    <col min="7175" max="7175" width="29.88671875" style="791" customWidth="1"/>
    <col min="7176" max="7177" width="22.88671875" style="791" customWidth="1"/>
    <col min="7178" max="7178" width="20.44140625" style="791" customWidth="1"/>
    <col min="7179" max="7180" width="19" style="791" customWidth="1"/>
    <col min="7181" max="7181" width="16.44140625" style="791" customWidth="1"/>
    <col min="7182" max="7183" width="16.5546875" style="791" customWidth="1"/>
    <col min="7184" max="7184" width="12.6640625" style="791" customWidth="1"/>
    <col min="7185" max="7185" width="14.33203125" style="791" customWidth="1"/>
    <col min="7186" max="7186" width="49" style="791" customWidth="1"/>
    <col min="7187" max="7424" width="9.109375" style="791"/>
    <col min="7425" max="7425" width="2" style="791" customWidth="1"/>
    <col min="7426" max="7426" width="5.6640625" style="791" customWidth="1"/>
    <col min="7427" max="7427" width="8.33203125" style="791" customWidth="1"/>
    <col min="7428" max="7428" width="51.33203125" style="791" customWidth="1"/>
    <col min="7429" max="7429" width="22.88671875" style="791" customWidth="1"/>
    <col min="7430" max="7430" width="24.44140625" style="791" customWidth="1"/>
    <col min="7431" max="7431" width="29.88671875" style="791" customWidth="1"/>
    <col min="7432" max="7433" width="22.88671875" style="791" customWidth="1"/>
    <col min="7434" max="7434" width="20.44140625" style="791" customWidth="1"/>
    <col min="7435" max="7436" width="19" style="791" customWidth="1"/>
    <col min="7437" max="7437" width="16.44140625" style="791" customWidth="1"/>
    <col min="7438" max="7439" width="16.5546875" style="791" customWidth="1"/>
    <col min="7440" max="7440" width="12.6640625" style="791" customWidth="1"/>
    <col min="7441" max="7441" width="14.33203125" style="791" customWidth="1"/>
    <col min="7442" max="7442" width="49" style="791" customWidth="1"/>
    <col min="7443" max="7680" width="9.109375" style="791"/>
    <col min="7681" max="7681" width="2" style="791" customWidth="1"/>
    <col min="7682" max="7682" width="5.6640625" style="791" customWidth="1"/>
    <col min="7683" max="7683" width="8.33203125" style="791" customWidth="1"/>
    <col min="7684" max="7684" width="51.33203125" style="791" customWidth="1"/>
    <col min="7685" max="7685" width="22.88671875" style="791" customWidth="1"/>
    <col min="7686" max="7686" width="24.44140625" style="791" customWidth="1"/>
    <col min="7687" max="7687" width="29.88671875" style="791" customWidth="1"/>
    <col min="7688" max="7689" width="22.88671875" style="791" customWidth="1"/>
    <col min="7690" max="7690" width="20.44140625" style="791" customWidth="1"/>
    <col min="7691" max="7692" width="19" style="791" customWidth="1"/>
    <col min="7693" max="7693" width="16.44140625" style="791" customWidth="1"/>
    <col min="7694" max="7695" width="16.5546875" style="791" customWidth="1"/>
    <col min="7696" max="7696" width="12.6640625" style="791" customWidth="1"/>
    <col min="7697" max="7697" width="14.33203125" style="791" customWidth="1"/>
    <col min="7698" max="7698" width="49" style="791" customWidth="1"/>
    <col min="7699" max="7936" width="9.109375" style="791"/>
    <col min="7937" max="7937" width="2" style="791" customWidth="1"/>
    <col min="7938" max="7938" width="5.6640625" style="791" customWidth="1"/>
    <col min="7939" max="7939" width="8.33203125" style="791" customWidth="1"/>
    <col min="7940" max="7940" width="51.33203125" style="791" customWidth="1"/>
    <col min="7941" max="7941" width="22.88671875" style="791" customWidth="1"/>
    <col min="7942" max="7942" width="24.44140625" style="791" customWidth="1"/>
    <col min="7943" max="7943" width="29.88671875" style="791" customWidth="1"/>
    <col min="7944" max="7945" width="22.88671875" style="791" customWidth="1"/>
    <col min="7946" max="7946" width="20.44140625" style="791" customWidth="1"/>
    <col min="7947" max="7948" width="19" style="791" customWidth="1"/>
    <col min="7949" max="7949" width="16.44140625" style="791" customWidth="1"/>
    <col min="7950" max="7951" width="16.5546875" style="791" customWidth="1"/>
    <col min="7952" max="7952" width="12.6640625" style="791" customWidth="1"/>
    <col min="7953" max="7953" width="14.33203125" style="791" customWidth="1"/>
    <col min="7954" max="7954" width="49" style="791" customWidth="1"/>
    <col min="7955" max="8192" width="9.109375" style="791"/>
    <col min="8193" max="8193" width="2" style="791" customWidth="1"/>
    <col min="8194" max="8194" width="5.6640625" style="791" customWidth="1"/>
    <col min="8195" max="8195" width="8.33203125" style="791" customWidth="1"/>
    <col min="8196" max="8196" width="51.33203125" style="791" customWidth="1"/>
    <col min="8197" max="8197" width="22.88671875" style="791" customWidth="1"/>
    <col min="8198" max="8198" width="24.44140625" style="791" customWidth="1"/>
    <col min="8199" max="8199" width="29.88671875" style="791" customWidth="1"/>
    <col min="8200" max="8201" width="22.88671875" style="791" customWidth="1"/>
    <col min="8202" max="8202" width="20.44140625" style="791" customWidth="1"/>
    <col min="8203" max="8204" width="19" style="791" customWidth="1"/>
    <col min="8205" max="8205" width="16.44140625" style="791" customWidth="1"/>
    <col min="8206" max="8207" width="16.5546875" style="791" customWidth="1"/>
    <col min="8208" max="8208" width="12.6640625" style="791" customWidth="1"/>
    <col min="8209" max="8209" width="14.33203125" style="791" customWidth="1"/>
    <col min="8210" max="8210" width="49" style="791" customWidth="1"/>
    <col min="8211" max="8448" width="9.109375" style="791"/>
    <col min="8449" max="8449" width="2" style="791" customWidth="1"/>
    <col min="8450" max="8450" width="5.6640625" style="791" customWidth="1"/>
    <col min="8451" max="8451" width="8.33203125" style="791" customWidth="1"/>
    <col min="8452" max="8452" width="51.33203125" style="791" customWidth="1"/>
    <col min="8453" max="8453" width="22.88671875" style="791" customWidth="1"/>
    <col min="8454" max="8454" width="24.44140625" style="791" customWidth="1"/>
    <col min="8455" max="8455" width="29.88671875" style="791" customWidth="1"/>
    <col min="8456" max="8457" width="22.88671875" style="791" customWidth="1"/>
    <col min="8458" max="8458" width="20.44140625" style="791" customWidth="1"/>
    <col min="8459" max="8460" width="19" style="791" customWidth="1"/>
    <col min="8461" max="8461" width="16.44140625" style="791" customWidth="1"/>
    <col min="8462" max="8463" width="16.5546875" style="791" customWidth="1"/>
    <col min="8464" max="8464" width="12.6640625" style="791" customWidth="1"/>
    <col min="8465" max="8465" width="14.33203125" style="791" customWidth="1"/>
    <col min="8466" max="8466" width="49" style="791" customWidth="1"/>
    <col min="8467" max="8704" width="9.109375" style="791"/>
    <col min="8705" max="8705" width="2" style="791" customWidth="1"/>
    <col min="8706" max="8706" width="5.6640625" style="791" customWidth="1"/>
    <col min="8707" max="8707" width="8.33203125" style="791" customWidth="1"/>
    <col min="8708" max="8708" width="51.33203125" style="791" customWidth="1"/>
    <col min="8709" max="8709" width="22.88671875" style="791" customWidth="1"/>
    <col min="8710" max="8710" width="24.44140625" style="791" customWidth="1"/>
    <col min="8711" max="8711" width="29.88671875" style="791" customWidth="1"/>
    <col min="8712" max="8713" width="22.88671875" style="791" customWidth="1"/>
    <col min="8714" max="8714" width="20.44140625" style="791" customWidth="1"/>
    <col min="8715" max="8716" width="19" style="791" customWidth="1"/>
    <col min="8717" max="8717" width="16.44140625" style="791" customWidth="1"/>
    <col min="8718" max="8719" width="16.5546875" style="791" customWidth="1"/>
    <col min="8720" max="8720" width="12.6640625" style="791" customWidth="1"/>
    <col min="8721" max="8721" width="14.33203125" style="791" customWidth="1"/>
    <col min="8722" max="8722" width="49" style="791" customWidth="1"/>
    <col min="8723" max="8960" width="9.109375" style="791"/>
    <col min="8961" max="8961" width="2" style="791" customWidth="1"/>
    <col min="8962" max="8962" width="5.6640625" style="791" customWidth="1"/>
    <col min="8963" max="8963" width="8.33203125" style="791" customWidth="1"/>
    <col min="8964" max="8964" width="51.33203125" style="791" customWidth="1"/>
    <col min="8965" max="8965" width="22.88671875" style="791" customWidth="1"/>
    <col min="8966" max="8966" width="24.44140625" style="791" customWidth="1"/>
    <col min="8967" max="8967" width="29.88671875" style="791" customWidth="1"/>
    <col min="8968" max="8969" width="22.88671875" style="791" customWidth="1"/>
    <col min="8970" max="8970" width="20.44140625" style="791" customWidth="1"/>
    <col min="8971" max="8972" width="19" style="791" customWidth="1"/>
    <col min="8973" max="8973" width="16.44140625" style="791" customWidth="1"/>
    <col min="8974" max="8975" width="16.5546875" style="791" customWidth="1"/>
    <col min="8976" max="8976" width="12.6640625" style="791" customWidth="1"/>
    <col min="8977" max="8977" width="14.33203125" style="791" customWidth="1"/>
    <col min="8978" max="8978" width="49" style="791" customWidth="1"/>
    <col min="8979" max="9216" width="9.109375" style="791"/>
    <col min="9217" max="9217" width="2" style="791" customWidth="1"/>
    <col min="9218" max="9218" width="5.6640625" style="791" customWidth="1"/>
    <col min="9219" max="9219" width="8.33203125" style="791" customWidth="1"/>
    <col min="9220" max="9220" width="51.33203125" style="791" customWidth="1"/>
    <col min="9221" max="9221" width="22.88671875" style="791" customWidth="1"/>
    <col min="9222" max="9222" width="24.44140625" style="791" customWidth="1"/>
    <col min="9223" max="9223" width="29.88671875" style="791" customWidth="1"/>
    <col min="9224" max="9225" width="22.88671875" style="791" customWidth="1"/>
    <col min="9226" max="9226" width="20.44140625" style="791" customWidth="1"/>
    <col min="9227" max="9228" width="19" style="791" customWidth="1"/>
    <col min="9229" max="9229" width="16.44140625" style="791" customWidth="1"/>
    <col min="9230" max="9231" width="16.5546875" style="791" customWidth="1"/>
    <col min="9232" max="9232" width="12.6640625" style="791" customWidth="1"/>
    <col min="9233" max="9233" width="14.33203125" style="791" customWidth="1"/>
    <col min="9234" max="9234" width="49" style="791" customWidth="1"/>
    <col min="9235" max="9472" width="9.109375" style="791"/>
    <col min="9473" max="9473" width="2" style="791" customWidth="1"/>
    <col min="9474" max="9474" width="5.6640625" style="791" customWidth="1"/>
    <col min="9475" max="9475" width="8.33203125" style="791" customWidth="1"/>
    <col min="9476" max="9476" width="51.33203125" style="791" customWidth="1"/>
    <col min="9477" max="9477" width="22.88671875" style="791" customWidth="1"/>
    <col min="9478" max="9478" width="24.44140625" style="791" customWidth="1"/>
    <col min="9479" max="9479" width="29.88671875" style="791" customWidth="1"/>
    <col min="9480" max="9481" width="22.88671875" style="791" customWidth="1"/>
    <col min="9482" max="9482" width="20.44140625" style="791" customWidth="1"/>
    <col min="9483" max="9484" width="19" style="791" customWidth="1"/>
    <col min="9485" max="9485" width="16.44140625" style="791" customWidth="1"/>
    <col min="9486" max="9487" width="16.5546875" style="791" customWidth="1"/>
    <col min="9488" max="9488" width="12.6640625" style="791" customWidth="1"/>
    <col min="9489" max="9489" width="14.33203125" style="791" customWidth="1"/>
    <col min="9490" max="9490" width="49" style="791" customWidth="1"/>
    <col min="9491" max="9728" width="9.109375" style="791"/>
    <col min="9729" max="9729" width="2" style="791" customWidth="1"/>
    <col min="9730" max="9730" width="5.6640625" style="791" customWidth="1"/>
    <col min="9731" max="9731" width="8.33203125" style="791" customWidth="1"/>
    <col min="9732" max="9732" width="51.33203125" style="791" customWidth="1"/>
    <col min="9733" max="9733" width="22.88671875" style="791" customWidth="1"/>
    <col min="9734" max="9734" width="24.44140625" style="791" customWidth="1"/>
    <col min="9735" max="9735" width="29.88671875" style="791" customWidth="1"/>
    <col min="9736" max="9737" width="22.88671875" style="791" customWidth="1"/>
    <col min="9738" max="9738" width="20.44140625" style="791" customWidth="1"/>
    <col min="9739" max="9740" width="19" style="791" customWidth="1"/>
    <col min="9741" max="9741" width="16.44140625" style="791" customWidth="1"/>
    <col min="9742" max="9743" width="16.5546875" style="791" customWidth="1"/>
    <col min="9744" max="9744" width="12.6640625" style="791" customWidth="1"/>
    <col min="9745" max="9745" width="14.33203125" style="791" customWidth="1"/>
    <col min="9746" max="9746" width="49" style="791" customWidth="1"/>
    <col min="9747" max="9984" width="9.109375" style="791"/>
    <col min="9985" max="9985" width="2" style="791" customWidth="1"/>
    <col min="9986" max="9986" width="5.6640625" style="791" customWidth="1"/>
    <col min="9987" max="9987" width="8.33203125" style="791" customWidth="1"/>
    <col min="9988" max="9988" width="51.33203125" style="791" customWidth="1"/>
    <col min="9989" max="9989" width="22.88671875" style="791" customWidth="1"/>
    <col min="9990" max="9990" width="24.44140625" style="791" customWidth="1"/>
    <col min="9991" max="9991" width="29.88671875" style="791" customWidth="1"/>
    <col min="9992" max="9993" width="22.88671875" style="791" customWidth="1"/>
    <col min="9994" max="9994" width="20.44140625" style="791" customWidth="1"/>
    <col min="9995" max="9996" width="19" style="791" customWidth="1"/>
    <col min="9997" max="9997" width="16.44140625" style="791" customWidth="1"/>
    <col min="9998" max="9999" width="16.5546875" style="791" customWidth="1"/>
    <col min="10000" max="10000" width="12.6640625" style="791" customWidth="1"/>
    <col min="10001" max="10001" width="14.33203125" style="791" customWidth="1"/>
    <col min="10002" max="10002" width="49" style="791" customWidth="1"/>
    <col min="10003" max="10240" width="9.109375" style="791"/>
    <col min="10241" max="10241" width="2" style="791" customWidth="1"/>
    <col min="10242" max="10242" width="5.6640625" style="791" customWidth="1"/>
    <col min="10243" max="10243" width="8.33203125" style="791" customWidth="1"/>
    <col min="10244" max="10244" width="51.33203125" style="791" customWidth="1"/>
    <col min="10245" max="10245" width="22.88671875" style="791" customWidth="1"/>
    <col min="10246" max="10246" width="24.44140625" style="791" customWidth="1"/>
    <col min="10247" max="10247" width="29.88671875" style="791" customWidth="1"/>
    <col min="10248" max="10249" width="22.88671875" style="791" customWidth="1"/>
    <col min="10250" max="10250" width="20.44140625" style="791" customWidth="1"/>
    <col min="10251" max="10252" width="19" style="791" customWidth="1"/>
    <col min="10253" max="10253" width="16.44140625" style="791" customWidth="1"/>
    <col min="10254" max="10255" width="16.5546875" style="791" customWidth="1"/>
    <col min="10256" max="10256" width="12.6640625" style="791" customWidth="1"/>
    <col min="10257" max="10257" width="14.33203125" style="791" customWidth="1"/>
    <col min="10258" max="10258" width="49" style="791" customWidth="1"/>
    <col min="10259"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1" width="22.88671875" style="791" customWidth="1"/>
    <col min="10502" max="10502" width="24.44140625" style="791" customWidth="1"/>
    <col min="10503" max="10503" width="29.88671875" style="791" customWidth="1"/>
    <col min="10504" max="10505" width="22.88671875" style="791" customWidth="1"/>
    <col min="10506" max="10506" width="20.44140625" style="791" customWidth="1"/>
    <col min="10507" max="10508" width="19" style="791" customWidth="1"/>
    <col min="10509" max="10509" width="16.44140625" style="791" customWidth="1"/>
    <col min="10510" max="10511" width="16.5546875" style="791" customWidth="1"/>
    <col min="10512" max="10512" width="12.6640625" style="791" customWidth="1"/>
    <col min="10513" max="10513" width="14.33203125" style="791" customWidth="1"/>
    <col min="10514" max="10514" width="49" style="791" customWidth="1"/>
    <col min="10515" max="10752" width="9.109375" style="791"/>
    <col min="10753" max="10753" width="2" style="791" customWidth="1"/>
    <col min="10754" max="10754" width="5.6640625" style="791" customWidth="1"/>
    <col min="10755" max="10755" width="8.33203125" style="791" customWidth="1"/>
    <col min="10756" max="10756" width="51.33203125" style="791" customWidth="1"/>
    <col min="10757" max="10757" width="22.88671875" style="791" customWidth="1"/>
    <col min="10758" max="10758" width="24.44140625" style="791" customWidth="1"/>
    <col min="10759" max="10759" width="29.88671875" style="791" customWidth="1"/>
    <col min="10760" max="10761" width="22.88671875" style="791" customWidth="1"/>
    <col min="10762" max="10762" width="20.44140625" style="791" customWidth="1"/>
    <col min="10763" max="10764" width="19" style="791" customWidth="1"/>
    <col min="10765" max="10765" width="16.44140625" style="791" customWidth="1"/>
    <col min="10766" max="10767" width="16.5546875" style="791" customWidth="1"/>
    <col min="10768" max="10768" width="12.6640625" style="791" customWidth="1"/>
    <col min="10769" max="10769" width="14.33203125" style="791" customWidth="1"/>
    <col min="10770" max="10770" width="49" style="791" customWidth="1"/>
    <col min="10771"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3" width="22.88671875" style="791" customWidth="1"/>
    <col min="11014" max="11014" width="24.44140625" style="791" customWidth="1"/>
    <col min="11015" max="11015" width="29.88671875" style="791" customWidth="1"/>
    <col min="11016" max="11017" width="22.88671875" style="791" customWidth="1"/>
    <col min="11018" max="11018" width="20.44140625" style="791" customWidth="1"/>
    <col min="11019" max="11020" width="19" style="791" customWidth="1"/>
    <col min="11021" max="11021" width="16.44140625" style="791" customWidth="1"/>
    <col min="11022" max="11023" width="16.5546875" style="791" customWidth="1"/>
    <col min="11024" max="11024" width="12.6640625" style="791" customWidth="1"/>
    <col min="11025" max="11025" width="14.33203125" style="791" customWidth="1"/>
    <col min="11026" max="11026" width="49" style="791" customWidth="1"/>
    <col min="11027" max="11264" width="9.109375" style="791"/>
    <col min="11265" max="11265" width="2" style="791" customWidth="1"/>
    <col min="11266" max="11266" width="5.6640625" style="791" customWidth="1"/>
    <col min="11267" max="11267" width="8.33203125" style="791" customWidth="1"/>
    <col min="11268" max="11268" width="51.33203125" style="791" customWidth="1"/>
    <col min="11269" max="11269" width="22.88671875" style="791" customWidth="1"/>
    <col min="11270" max="11270" width="24.44140625" style="791" customWidth="1"/>
    <col min="11271" max="11271" width="29.88671875" style="791" customWidth="1"/>
    <col min="11272" max="11273" width="22.88671875" style="791" customWidth="1"/>
    <col min="11274" max="11274" width="20.44140625" style="791" customWidth="1"/>
    <col min="11275" max="11276" width="19" style="791" customWidth="1"/>
    <col min="11277" max="11277" width="16.44140625" style="791" customWidth="1"/>
    <col min="11278" max="11279" width="16.5546875" style="791" customWidth="1"/>
    <col min="11280" max="11280" width="12.6640625" style="791" customWidth="1"/>
    <col min="11281" max="11281" width="14.33203125" style="791" customWidth="1"/>
    <col min="11282" max="11282" width="49" style="791" customWidth="1"/>
    <col min="11283" max="11520" width="9.109375" style="791"/>
    <col min="11521" max="11521" width="2" style="791" customWidth="1"/>
    <col min="11522" max="11522" width="5.6640625" style="791" customWidth="1"/>
    <col min="11523" max="11523" width="8.33203125" style="791" customWidth="1"/>
    <col min="11524" max="11524" width="51.33203125" style="791" customWidth="1"/>
    <col min="11525" max="11525" width="22.88671875" style="791" customWidth="1"/>
    <col min="11526" max="11526" width="24.44140625" style="791" customWidth="1"/>
    <col min="11527" max="11527" width="29.88671875" style="791" customWidth="1"/>
    <col min="11528" max="11529" width="22.88671875" style="791" customWidth="1"/>
    <col min="11530" max="11530" width="20.44140625" style="791" customWidth="1"/>
    <col min="11531" max="11532" width="19" style="791" customWidth="1"/>
    <col min="11533" max="11533" width="16.44140625" style="791" customWidth="1"/>
    <col min="11534" max="11535" width="16.5546875" style="791" customWidth="1"/>
    <col min="11536" max="11536" width="12.6640625" style="791" customWidth="1"/>
    <col min="11537" max="11537" width="14.33203125" style="791" customWidth="1"/>
    <col min="11538" max="11538" width="49" style="791" customWidth="1"/>
    <col min="11539"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1" width="22.88671875" style="791" customWidth="1"/>
    <col min="11782" max="11782" width="24.44140625" style="791" customWidth="1"/>
    <col min="11783" max="11783" width="29.88671875" style="791" customWidth="1"/>
    <col min="11784" max="11785" width="22.88671875" style="791" customWidth="1"/>
    <col min="11786" max="11786" width="20.44140625" style="791" customWidth="1"/>
    <col min="11787" max="11788" width="19" style="791" customWidth="1"/>
    <col min="11789" max="11789" width="16.44140625" style="791" customWidth="1"/>
    <col min="11790" max="11791" width="16.5546875" style="791" customWidth="1"/>
    <col min="11792" max="11792" width="12.6640625" style="791" customWidth="1"/>
    <col min="11793" max="11793" width="14.33203125" style="791" customWidth="1"/>
    <col min="11794" max="11794" width="49" style="791" customWidth="1"/>
    <col min="11795" max="12032" width="9.109375" style="791"/>
    <col min="12033" max="12033" width="2" style="791" customWidth="1"/>
    <col min="12034" max="12034" width="5.6640625" style="791" customWidth="1"/>
    <col min="12035" max="12035" width="8.33203125" style="791" customWidth="1"/>
    <col min="12036" max="12036" width="51.33203125" style="791" customWidth="1"/>
    <col min="12037" max="12037" width="22.88671875" style="791" customWidth="1"/>
    <col min="12038" max="12038" width="24.44140625" style="791" customWidth="1"/>
    <col min="12039" max="12039" width="29.88671875" style="791" customWidth="1"/>
    <col min="12040" max="12041" width="22.88671875" style="791" customWidth="1"/>
    <col min="12042" max="12042" width="20.44140625" style="791" customWidth="1"/>
    <col min="12043" max="12044" width="19" style="791" customWidth="1"/>
    <col min="12045" max="12045" width="16.44140625" style="791" customWidth="1"/>
    <col min="12046" max="12047" width="16.5546875" style="791" customWidth="1"/>
    <col min="12048" max="12048" width="12.6640625" style="791" customWidth="1"/>
    <col min="12049" max="12049" width="14.33203125" style="791" customWidth="1"/>
    <col min="12050" max="12050" width="49" style="791" customWidth="1"/>
    <col min="12051"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3" width="22.88671875" style="791" customWidth="1"/>
    <col min="12294" max="12294" width="24.44140625" style="791" customWidth="1"/>
    <col min="12295" max="12295" width="29.88671875" style="791" customWidth="1"/>
    <col min="12296" max="12297" width="22.88671875" style="791" customWidth="1"/>
    <col min="12298" max="12298" width="20.44140625" style="791" customWidth="1"/>
    <col min="12299" max="12300" width="19" style="791" customWidth="1"/>
    <col min="12301" max="12301" width="16.44140625" style="791" customWidth="1"/>
    <col min="12302" max="12303" width="16.5546875" style="791" customWidth="1"/>
    <col min="12304" max="12304" width="12.6640625" style="791" customWidth="1"/>
    <col min="12305" max="12305" width="14.33203125" style="791" customWidth="1"/>
    <col min="12306" max="12306" width="49" style="791" customWidth="1"/>
    <col min="12307" max="12544" width="9.109375" style="791"/>
    <col min="12545" max="12545" width="2" style="791" customWidth="1"/>
    <col min="12546" max="12546" width="5.6640625" style="791" customWidth="1"/>
    <col min="12547" max="12547" width="8.33203125" style="791" customWidth="1"/>
    <col min="12548" max="12548" width="51.33203125" style="791" customWidth="1"/>
    <col min="12549" max="12549" width="22.88671875" style="791" customWidth="1"/>
    <col min="12550" max="12550" width="24.44140625" style="791" customWidth="1"/>
    <col min="12551" max="12551" width="29.88671875" style="791" customWidth="1"/>
    <col min="12552" max="12553" width="22.88671875" style="791" customWidth="1"/>
    <col min="12554" max="12554" width="20.44140625" style="791" customWidth="1"/>
    <col min="12555" max="12556" width="19" style="791" customWidth="1"/>
    <col min="12557" max="12557" width="16.44140625" style="791" customWidth="1"/>
    <col min="12558" max="12559" width="16.5546875" style="791" customWidth="1"/>
    <col min="12560" max="12560" width="12.6640625" style="791" customWidth="1"/>
    <col min="12561" max="12561" width="14.33203125" style="791" customWidth="1"/>
    <col min="12562" max="12562" width="49" style="791" customWidth="1"/>
    <col min="12563" max="12800" width="9.109375" style="791"/>
    <col min="12801" max="12801" width="2" style="791" customWidth="1"/>
    <col min="12802" max="12802" width="5.6640625" style="791" customWidth="1"/>
    <col min="12803" max="12803" width="8.33203125" style="791" customWidth="1"/>
    <col min="12804" max="12804" width="51.33203125" style="791" customWidth="1"/>
    <col min="12805" max="12805" width="22.88671875" style="791" customWidth="1"/>
    <col min="12806" max="12806" width="24.44140625" style="791" customWidth="1"/>
    <col min="12807" max="12807" width="29.88671875" style="791" customWidth="1"/>
    <col min="12808" max="12809" width="22.88671875" style="791" customWidth="1"/>
    <col min="12810" max="12810" width="20.44140625" style="791" customWidth="1"/>
    <col min="12811" max="12812" width="19" style="791" customWidth="1"/>
    <col min="12813" max="12813" width="16.44140625" style="791" customWidth="1"/>
    <col min="12814" max="12815" width="16.5546875" style="791" customWidth="1"/>
    <col min="12816" max="12816" width="12.6640625" style="791" customWidth="1"/>
    <col min="12817" max="12817" width="14.33203125" style="791" customWidth="1"/>
    <col min="12818" max="12818" width="49" style="791" customWidth="1"/>
    <col min="12819"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1" width="22.88671875" style="791" customWidth="1"/>
    <col min="13062" max="13062" width="24.44140625" style="791" customWidth="1"/>
    <col min="13063" max="13063" width="29.88671875" style="791" customWidth="1"/>
    <col min="13064" max="13065" width="22.88671875" style="791" customWidth="1"/>
    <col min="13066" max="13066" width="20.44140625" style="791" customWidth="1"/>
    <col min="13067" max="13068" width="19" style="791" customWidth="1"/>
    <col min="13069" max="13069" width="16.44140625" style="791" customWidth="1"/>
    <col min="13070" max="13071" width="16.5546875" style="791" customWidth="1"/>
    <col min="13072" max="13072" width="12.6640625" style="791" customWidth="1"/>
    <col min="13073" max="13073" width="14.33203125" style="791" customWidth="1"/>
    <col min="13074" max="13074" width="49" style="791" customWidth="1"/>
    <col min="13075" max="13312" width="9.109375" style="791"/>
    <col min="13313" max="13313" width="2" style="791" customWidth="1"/>
    <col min="13314" max="13314" width="5.6640625" style="791" customWidth="1"/>
    <col min="13315" max="13315" width="8.33203125" style="791" customWidth="1"/>
    <col min="13316" max="13316" width="51.33203125" style="791" customWidth="1"/>
    <col min="13317" max="13317" width="22.88671875" style="791" customWidth="1"/>
    <col min="13318" max="13318" width="24.44140625" style="791" customWidth="1"/>
    <col min="13319" max="13319" width="29.88671875" style="791" customWidth="1"/>
    <col min="13320" max="13321" width="22.88671875" style="791" customWidth="1"/>
    <col min="13322" max="13322" width="20.44140625" style="791" customWidth="1"/>
    <col min="13323" max="13324" width="19" style="791" customWidth="1"/>
    <col min="13325" max="13325" width="16.44140625" style="791" customWidth="1"/>
    <col min="13326" max="13327" width="16.5546875" style="791" customWidth="1"/>
    <col min="13328" max="13328" width="12.6640625" style="791" customWidth="1"/>
    <col min="13329" max="13329" width="14.33203125" style="791" customWidth="1"/>
    <col min="13330" max="13330" width="49" style="791" customWidth="1"/>
    <col min="13331"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3" width="22.88671875" style="791" customWidth="1"/>
    <col min="13574" max="13574" width="24.44140625" style="791" customWidth="1"/>
    <col min="13575" max="13575" width="29.88671875" style="791" customWidth="1"/>
    <col min="13576" max="13577" width="22.88671875" style="791" customWidth="1"/>
    <col min="13578" max="13578" width="20.44140625" style="791" customWidth="1"/>
    <col min="13579" max="13580" width="19" style="791" customWidth="1"/>
    <col min="13581" max="13581" width="16.44140625" style="791" customWidth="1"/>
    <col min="13582" max="13583" width="16.5546875" style="791" customWidth="1"/>
    <col min="13584" max="13584" width="12.6640625" style="791" customWidth="1"/>
    <col min="13585" max="13585" width="14.33203125" style="791" customWidth="1"/>
    <col min="13586" max="13586" width="49" style="791" customWidth="1"/>
    <col min="13587" max="13824" width="9.109375" style="791"/>
    <col min="13825" max="13825" width="2" style="791" customWidth="1"/>
    <col min="13826" max="13826" width="5.6640625" style="791" customWidth="1"/>
    <col min="13827" max="13827" width="8.33203125" style="791" customWidth="1"/>
    <col min="13828" max="13828" width="51.33203125" style="791" customWidth="1"/>
    <col min="13829" max="13829" width="22.88671875" style="791" customWidth="1"/>
    <col min="13830" max="13830" width="24.44140625" style="791" customWidth="1"/>
    <col min="13831" max="13831" width="29.88671875" style="791" customWidth="1"/>
    <col min="13832" max="13833" width="22.88671875" style="791" customWidth="1"/>
    <col min="13834" max="13834" width="20.44140625" style="791" customWidth="1"/>
    <col min="13835" max="13836" width="19" style="791" customWidth="1"/>
    <col min="13837" max="13837" width="16.44140625" style="791" customWidth="1"/>
    <col min="13838" max="13839" width="16.5546875" style="791" customWidth="1"/>
    <col min="13840" max="13840" width="12.6640625" style="791" customWidth="1"/>
    <col min="13841" max="13841" width="14.33203125" style="791" customWidth="1"/>
    <col min="13842" max="13842" width="49" style="791" customWidth="1"/>
    <col min="13843" max="14080" width="9.109375" style="791"/>
    <col min="14081" max="14081" width="2" style="791" customWidth="1"/>
    <col min="14082" max="14082" width="5.6640625" style="791" customWidth="1"/>
    <col min="14083" max="14083" width="8.33203125" style="791" customWidth="1"/>
    <col min="14084" max="14084" width="51.33203125" style="791" customWidth="1"/>
    <col min="14085" max="14085" width="22.88671875" style="791" customWidth="1"/>
    <col min="14086" max="14086" width="24.44140625" style="791" customWidth="1"/>
    <col min="14087" max="14087" width="29.88671875" style="791" customWidth="1"/>
    <col min="14088" max="14089" width="22.88671875" style="791" customWidth="1"/>
    <col min="14090" max="14090" width="20.44140625" style="791" customWidth="1"/>
    <col min="14091" max="14092" width="19" style="791" customWidth="1"/>
    <col min="14093" max="14093" width="16.44140625" style="791" customWidth="1"/>
    <col min="14094" max="14095" width="16.5546875" style="791" customWidth="1"/>
    <col min="14096" max="14096" width="12.6640625" style="791" customWidth="1"/>
    <col min="14097" max="14097" width="14.33203125" style="791" customWidth="1"/>
    <col min="14098" max="14098" width="49" style="791" customWidth="1"/>
    <col min="14099"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1" width="22.88671875" style="791" customWidth="1"/>
    <col min="14342" max="14342" width="24.44140625" style="791" customWidth="1"/>
    <col min="14343" max="14343" width="29.88671875" style="791" customWidth="1"/>
    <col min="14344" max="14345" width="22.88671875" style="791" customWidth="1"/>
    <col min="14346" max="14346" width="20.44140625" style="791" customWidth="1"/>
    <col min="14347" max="14348" width="19" style="791" customWidth="1"/>
    <col min="14349" max="14349" width="16.44140625" style="791" customWidth="1"/>
    <col min="14350" max="14351" width="16.5546875" style="791" customWidth="1"/>
    <col min="14352" max="14352" width="12.6640625" style="791" customWidth="1"/>
    <col min="14353" max="14353" width="14.33203125" style="791" customWidth="1"/>
    <col min="14354" max="14354" width="49" style="791" customWidth="1"/>
    <col min="14355" max="14592" width="9.109375" style="791"/>
    <col min="14593" max="14593" width="2" style="791" customWidth="1"/>
    <col min="14594" max="14594" width="5.6640625" style="791" customWidth="1"/>
    <col min="14595" max="14595" width="8.33203125" style="791" customWidth="1"/>
    <col min="14596" max="14596" width="51.33203125" style="791" customWidth="1"/>
    <col min="14597" max="14597" width="22.88671875" style="791" customWidth="1"/>
    <col min="14598" max="14598" width="24.44140625" style="791" customWidth="1"/>
    <col min="14599" max="14599" width="29.88671875" style="791" customWidth="1"/>
    <col min="14600" max="14601" width="22.88671875" style="791" customWidth="1"/>
    <col min="14602" max="14602" width="20.44140625" style="791" customWidth="1"/>
    <col min="14603" max="14604" width="19" style="791" customWidth="1"/>
    <col min="14605" max="14605" width="16.44140625" style="791" customWidth="1"/>
    <col min="14606" max="14607" width="16.5546875" style="791" customWidth="1"/>
    <col min="14608" max="14608" width="12.6640625" style="791" customWidth="1"/>
    <col min="14609" max="14609" width="14.33203125" style="791" customWidth="1"/>
    <col min="14610" max="14610" width="49" style="791" customWidth="1"/>
    <col min="14611"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3" width="22.88671875" style="791" customWidth="1"/>
    <col min="14854" max="14854" width="24.44140625" style="791" customWidth="1"/>
    <col min="14855" max="14855" width="29.88671875" style="791" customWidth="1"/>
    <col min="14856" max="14857" width="22.88671875" style="791" customWidth="1"/>
    <col min="14858" max="14858" width="20.44140625" style="791" customWidth="1"/>
    <col min="14859" max="14860" width="19" style="791" customWidth="1"/>
    <col min="14861" max="14861" width="16.44140625" style="791" customWidth="1"/>
    <col min="14862" max="14863" width="16.5546875" style="791" customWidth="1"/>
    <col min="14864" max="14864" width="12.6640625" style="791" customWidth="1"/>
    <col min="14865" max="14865" width="14.33203125" style="791" customWidth="1"/>
    <col min="14866" max="14866" width="49" style="791" customWidth="1"/>
    <col min="14867" max="15104" width="9.109375" style="791"/>
    <col min="15105" max="15105" width="2" style="791" customWidth="1"/>
    <col min="15106" max="15106" width="5.6640625" style="791" customWidth="1"/>
    <col min="15107" max="15107" width="8.33203125" style="791" customWidth="1"/>
    <col min="15108" max="15108" width="51.33203125" style="791" customWidth="1"/>
    <col min="15109" max="15109" width="22.88671875" style="791" customWidth="1"/>
    <col min="15110" max="15110" width="24.44140625" style="791" customWidth="1"/>
    <col min="15111" max="15111" width="29.88671875" style="791" customWidth="1"/>
    <col min="15112" max="15113" width="22.88671875" style="791" customWidth="1"/>
    <col min="15114" max="15114" width="20.44140625" style="791" customWidth="1"/>
    <col min="15115" max="15116" width="19" style="791" customWidth="1"/>
    <col min="15117" max="15117" width="16.44140625" style="791" customWidth="1"/>
    <col min="15118" max="15119" width="16.5546875" style="791" customWidth="1"/>
    <col min="15120" max="15120" width="12.6640625" style="791" customWidth="1"/>
    <col min="15121" max="15121" width="14.33203125" style="791" customWidth="1"/>
    <col min="15122" max="15122" width="49" style="791" customWidth="1"/>
    <col min="15123" max="15360" width="9.109375" style="791"/>
    <col min="15361" max="15361" width="2" style="791" customWidth="1"/>
    <col min="15362" max="15362" width="5.6640625" style="791" customWidth="1"/>
    <col min="15363" max="15363" width="8.33203125" style="791" customWidth="1"/>
    <col min="15364" max="15364" width="51.33203125" style="791" customWidth="1"/>
    <col min="15365" max="15365" width="22.88671875" style="791" customWidth="1"/>
    <col min="15366" max="15366" width="24.44140625" style="791" customWidth="1"/>
    <col min="15367" max="15367" width="29.88671875" style="791" customWidth="1"/>
    <col min="15368" max="15369" width="22.88671875" style="791" customWidth="1"/>
    <col min="15370" max="15370" width="20.44140625" style="791" customWidth="1"/>
    <col min="15371" max="15372" width="19" style="791" customWidth="1"/>
    <col min="15373" max="15373" width="16.44140625" style="791" customWidth="1"/>
    <col min="15374" max="15375" width="16.5546875" style="791" customWidth="1"/>
    <col min="15376" max="15376" width="12.6640625" style="791" customWidth="1"/>
    <col min="15377" max="15377" width="14.33203125" style="791" customWidth="1"/>
    <col min="15378" max="15378" width="49" style="791" customWidth="1"/>
    <col min="15379"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1" width="22.88671875" style="791" customWidth="1"/>
    <col min="15622" max="15622" width="24.44140625" style="791" customWidth="1"/>
    <col min="15623" max="15623" width="29.88671875" style="791" customWidth="1"/>
    <col min="15624" max="15625" width="22.88671875" style="791" customWidth="1"/>
    <col min="15626" max="15626" width="20.44140625" style="791" customWidth="1"/>
    <col min="15627" max="15628" width="19" style="791" customWidth="1"/>
    <col min="15629" max="15629" width="16.44140625" style="791" customWidth="1"/>
    <col min="15630" max="15631" width="16.5546875" style="791" customWidth="1"/>
    <col min="15632" max="15632" width="12.6640625" style="791" customWidth="1"/>
    <col min="15633" max="15633" width="14.33203125" style="791" customWidth="1"/>
    <col min="15634" max="15634" width="49" style="791" customWidth="1"/>
    <col min="15635" max="15872" width="9.109375" style="791"/>
    <col min="15873" max="15873" width="2" style="791" customWidth="1"/>
    <col min="15874" max="15874" width="5.6640625" style="791" customWidth="1"/>
    <col min="15875" max="15875" width="8.33203125" style="791" customWidth="1"/>
    <col min="15876" max="15876" width="51.33203125" style="791" customWidth="1"/>
    <col min="15877" max="15877" width="22.88671875" style="791" customWidth="1"/>
    <col min="15878" max="15878" width="24.44140625" style="791" customWidth="1"/>
    <col min="15879" max="15879" width="29.88671875" style="791" customWidth="1"/>
    <col min="15880" max="15881" width="22.88671875" style="791" customWidth="1"/>
    <col min="15882" max="15882" width="20.44140625" style="791" customWidth="1"/>
    <col min="15883" max="15884" width="19" style="791" customWidth="1"/>
    <col min="15885" max="15885" width="16.44140625" style="791" customWidth="1"/>
    <col min="15886" max="15887" width="16.5546875" style="791" customWidth="1"/>
    <col min="15888" max="15888" width="12.6640625" style="791" customWidth="1"/>
    <col min="15889" max="15889" width="14.33203125" style="791" customWidth="1"/>
    <col min="15890" max="15890" width="49" style="791" customWidth="1"/>
    <col min="15891"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3" width="22.88671875" style="791" customWidth="1"/>
    <col min="16134" max="16134" width="24.44140625" style="791" customWidth="1"/>
    <col min="16135" max="16135" width="29.88671875" style="791" customWidth="1"/>
    <col min="16136" max="16137" width="22.88671875" style="791" customWidth="1"/>
    <col min="16138" max="16138" width="20.44140625" style="791" customWidth="1"/>
    <col min="16139" max="16140" width="19" style="791" customWidth="1"/>
    <col min="16141" max="16141" width="16.44140625" style="791" customWidth="1"/>
    <col min="16142" max="16143" width="16.5546875" style="791" customWidth="1"/>
    <col min="16144" max="16144" width="12.6640625" style="791" customWidth="1"/>
    <col min="16145" max="16145" width="14.33203125" style="791" customWidth="1"/>
    <col min="16146" max="16146" width="49" style="791" customWidth="1"/>
    <col min="16147" max="16384" width="9.109375" style="791"/>
  </cols>
  <sheetData>
    <row r="1" spans="2:18" ht="20.399999999999999">
      <c r="B1" s="944" t="s">
        <v>1313</v>
      </c>
      <c r="C1" s="944"/>
      <c r="D1" s="956"/>
      <c r="E1" s="956"/>
      <c r="F1" s="956"/>
      <c r="G1" s="956"/>
      <c r="H1" s="956"/>
      <c r="I1" s="956"/>
      <c r="J1" s="956"/>
      <c r="K1" s="956"/>
      <c r="L1" s="956"/>
      <c r="M1" s="956"/>
      <c r="N1" s="956"/>
      <c r="O1" s="956"/>
      <c r="P1" s="956"/>
      <c r="Q1" s="956"/>
      <c r="R1" s="956"/>
    </row>
    <row r="2" spans="2:18" ht="19.2">
      <c r="B2" s="957" t="str">
        <f>Inputs!B2</f>
        <v>(For Rate Year Beginning April 1, 2026, Based on December 31, 2025 Data)</v>
      </c>
      <c r="C2" s="957"/>
      <c r="D2" s="957"/>
      <c r="E2" s="957"/>
      <c r="F2" s="957"/>
      <c r="G2" s="957"/>
      <c r="H2" s="957"/>
      <c r="I2" s="957"/>
      <c r="J2" s="957"/>
      <c r="K2" s="957"/>
      <c r="L2" s="957"/>
      <c r="M2" s="957"/>
      <c r="N2" s="958"/>
      <c r="O2" s="958"/>
      <c r="P2" s="959"/>
      <c r="Q2" s="959"/>
      <c r="R2" s="959"/>
    </row>
    <row r="3" spans="2:18" ht="8.1" customHeight="1">
      <c r="B3" s="169"/>
      <c r="C3" s="168"/>
      <c r="D3" s="170"/>
      <c r="E3" s="170"/>
      <c r="F3" s="170"/>
      <c r="G3" s="170"/>
      <c r="H3" s="170"/>
      <c r="I3" s="170"/>
      <c r="J3" s="170"/>
      <c r="K3" s="170"/>
      <c r="L3" s="170"/>
      <c r="M3" s="170"/>
      <c r="N3" s="170"/>
      <c r="O3" s="170"/>
      <c r="P3" s="171"/>
      <c r="Q3" s="170"/>
      <c r="R3" s="170"/>
    </row>
    <row r="4" spans="2:18" ht="14.4">
      <c r="B4" s="169"/>
      <c r="C4" s="168"/>
      <c r="D4" s="171"/>
      <c r="E4" s="744" t="s">
        <v>533</v>
      </c>
      <c r="F4" s="744" t="s">
        <v>534</v>
      </c>
      <c r="G4" s="744" t="s">
        <v>535</v>
      </c>
      <c r="H4" s="744" t="s">
        <v>536</v>
      </c>
      <c r="I4" s="744" t="s">
        <v>537</v>
      </c>
      <c r="J4" s="744" t="s">
        <v>538</v>
      </c>
      <c r="K4" s="744" t="s">
        <v>539</v>
      </c>
      <c r="L4" s="744" t="s">
        <v>1281</v>
      </c>
      <c r="M4" s="744" t="s">
        <v>1282</v>
      </c>
      <c r="N4" s="744" t="s">
        <v>1288</v>
      </c>
      <c r="O4" s="744" t="s">
        <v>1289</v>
      </c>
      <c r="P4" s="744" t="s">
        <v>1290</v>
      </c>
      <c r="Q4" s="744" t="s">
        <v>1291</v>
      </c>
      <c r="R4" s="744" t="s">
        <v>1292</v>
      </c>
    </row>
    <row r="5" spans="2:18" ht="15" customHeight="1">
      <c r="B5" s="169"/>
      <c r="C5" s="168"/>
      <c r="D5" s="170"/>
      <c r="E5" s="954" t="s">
        <v>1465</v>
      </c>
      <c r="F5" s="954" t="s">
        <v>1473</v>
      </c>
      <c r="G5" s="954" t="s">
        <v>1467</v>
      </c>
      <c r="H5" s="954" t="s">
        <v>1293</v>
      </c>
      <c r="I5" s="954" t="s">
        <v>1294</v>
      </c>
      <c r="J5" s="954" t="s">
        <v>1295</v>
      </c>
      <c r="K5" s="954" t="s">
        <v>1468</v>
      </c>
      <c r="L5" s="954" t="s">
        <v>1469</v>
      </c>
      <c r="M5" s="949" t="s">
        <v>325</v>
      </c>
      <c r="N5" s="949" t="s">
        <v>326</v>
      </c>
      <c r="O5" s="954" t="s">
        <v>1283</v>
      </c>
      <c r="P5" s="954" t="s">
        <v>1284</v>
      </c>
      <c r="Q5" s="954" t="s">
        <v>1285</v>
      </c>
      <c r="R5" s="954" t="s">
        <v>257</v>
      </c>
    </row>
    <row r="6" spans="2:18" ht="13.8">
      <c r="B6" s="169"/>
      <c r="C6" s="168"/>
      <c r="D6" s="170"/>
      <c r="E6" s="954"/>
      <c r="F6" s="954"/>
      <c r="G6" s="954"/>
      <c r="H6" s="954"/>
      <c r="I6" s="954"/>
      <c r="J6" s="954"/>
      <c r="K6" s="954" t="s">
        <v>1298</v>
      </c>
      <c r="L6" s="954" t="s">
        <v>1298</v>
      </c>
      <c r="M6" s="960"/>
      <c r="N6" s="960"/>
      <c r="O6" s="954" t="s">
        <v>363</v>
      </c>
      <c r="P6" s="954" t="s">
        <v>387</v>
      </c>
      <c r="Q6" s="954" t="s">
        <v>540</v>
      </c>
      <c r="R6" s="954"/>
    </row>
    <row r="7" spans="2:18" ht="22.5" customHeight="1">
      <c r="B7" s="792" t="s">
        <v>244</v>
      </c>
      <c r="C7" s="792" t="s">
        <v>61</v>
      </c>
      <c r="D7" s="792" t="s">
        <v>543</v>
      </c>
      <c r="E7" s="955"/>
      <c r="F7" s="955"/>
      <c r="G7" s="955"/>
      <c r="H7" s="955"/>
      <c r="I7" s="955"/>
      <c r="J7" s="955"/>
      <c r="K7" s="955" t="s">
        <v>259</v>
      </c>
      <c r="L7" s="955" t="s">
        <v>259</v>
      </c>
      <c r="M7" s="961"/>
      <c r="N7" s="961"/>
      <c r="O7" s="955" t="s">
        <v>386</v>
      </c>
      <c r="P7" s="955" t="s">
        <v>386</v>
      </c>
      <c r="Q7" s="955" t="s">
        <v>542</v>
      </c>
      <c r="R7" s="955" t="s">
        <v>257</v>
      </c>
    </row>
    <row r="8" spans="2:18" ht="13.8">
      <c r="B8" s="251">
        <v>1</v>
      </c>
      <c r="C8" s="793">
        <v>182.3</v>
      </c>
      <c r="D8" s="794" t="str">
        <f>+'1.5.1b-EDIT Remeasure '!D20</f>
        <v>Net Operating Loss</v>
      </c>
      <c r="E8" s="175">
        <f>'1.5.1b-EDIT Remeasure '!J20</f>
        <v>0</v>
      </c>
      <c r="F8" s="175">
        <f>+Inputs!D203</f>
        <v>3587409</v>
      </c>
      <c r="G8" s="175">
        <f>E8+F8</f>
        <v>3587409</v>
      </c>
      <c r="H8" s="175">
        <f>G8-K8-J8-I8</f>
        <v>138138</v>
      </c>
      <c r="I8" s="798"/>
      <c r="J8" s="798"/>
      <c r="K8" s="175">
        <f>+Inputs!D204</f>
        <v>3449271</v>
      </c>
      <c r="L8" s="175">
        <f>(F8+K8)/2</f>
        <v>3518340</v>
      </c>
      <c r="M8" s="798"/>
      <c r="N8" s="798"/>
      <c r="O8" s="798">
        <f>L8</f>
        <v>3518340</v>
      </c>
      <c r="P8" s="798"/>
      <c r="Q8" s="250"/>
      <c r="R8" s="805"/>
    </row>
    <row r="9" spans="2:18" ht="13.8">
      <c r="B9" s="251">
        <f>+B8+1</f>
        <v>2</v>
      </c>
      <c r="C9" s="793">
        <v>182.3</v>
      </c>
      <c r="D9" s="794" t="str">
        <f>+'1.5.1b-EDIT Remeasure '!D21</f>
        <v>Non-jurisdictional (SD Gas, NE Gas)</v>
      </c>
      <c r="E9" s="175">
        <f>'1.5.1b-EDIT Remeasure '!J21</f>
        <v>0</v>
      </c>
      <c r="F9" s="175">
        <f>+Inputs!D205</f>
        <v>-143211</v>
      </c>
      <c r="G9" s="175">
        <f>E9+F9</f>
        <v>-143211</v>
      </c>
      <c r="H9" s="175">
        <f>G9-K9-J9-I9</f>
        <v>-5513</v>
      </c>
      <c r="I9" s="798"/>
      <c r="J9" s="798"/>
      <c r="K9" s="175">
        <f>+Inputs!D206</f>
        <v>-137698</v>
      </c>
      <c r="L9" s="175">
        <f>(F9+K9)/2</f>
        <v>-140454.5</v>
      </c>
      <c r="M9" s="798">
        <f>+L9</f>
        <v>-140454.5</v>
      </c>
      <c r="N9" s="798"/>
      <c r="O9" s="798"/>
      <c r="P9" s="798"/>
      <c r="Q9" s="250"/>
      <c r="R9" s="388"/>
    </row>
    <row r="10" spans="2:18" ht="13.8">
      <c r="B10" s="251">
        <f t="shared" ref="B10:B73" si="0">B9+1</f>
        <v>3</v>
      </c>
      <c r="C10" s="387"/>
      <c r="D10" s="388"/>
      <c r="E10" s="175">
        <f>'1.5.1b-EDIT Remeasure '!J22</f>
        <v>0</v>
      </c>
      <c r="F10" s="798"/>
      <c r="G10" s="175">
        <f>E10+F10</f>
        <v>0</v>
      </c>
      <c r="H10" s="175">
        <f>G10-K10-J10-I10</f>
        <v>0</v>
      </c>
      <c r="I10" s="798"/>
      <c r="J10" s="798"/>
      <c r="K10" s="798"/>
      <c r="L10" s="175">
        <f>(F10+K10)/2</f>
        <v>0</v>
      </c>
      <c r="M10" s="798"/>
      <c r="N10" s="798"/>
      <c r="O10" s="798"/>
      <c r="P10" s="798"/>
      <c r="Q10" s="250"/>
      <c r="R10" s="388"/>
    </row>
    <row r="11" spans="2:18" ht="13.8">
      <c r="B11" s="251">
        <f t="shared" si="0"/>
        <v>4</v>
      </c>
      <c r="C11" s="387"/>
      <c r="D11" s="388"/>
      <c r="E11" s="175">
        <f>'1.5.1b-EDIT Remeasure '!J23</f>
        <v>0</v>
      </c>
      <c r="F11" s="798"/>
      <c r="G11" s="175">
        <f>E11+F11</f>
        <v>0</v>
      </c>
      <c r="H11" s="175">
        <f>G11-K11-J11-I11</f>
        <v>0</v>
      </c>
      <c r="I11" s="798"/>
      <c r="J11" s="798"/>
      <c r="K11" s="798"/>
      <c r="L11" s="175">
        <f>(F11+K11)/2</f>
        <v>0</v>
      </c>
      <c r="M11" s="798"/>
      <c r="N11" s="798"/>
      <c r="O11" s="798"/>
      <c r="P11" s="798"/>
      <c r="Q11" s="250"/>
      <c r="R11" s="388"/>
    </row>
    <row r="12" spans="2:18" ht="13.8">
      <c r="B12" s="251">
        <f t="shared" si="0"/>
        <v>5</v>
      </c>
      <c r="C12" s="387"/>
      <c r="D12" s="388"/>
      <c r="E12" s="175">
        <f>'1.5.1b-EDIT Remeasure '!J24</f>
        <v>0</v>
      </c>
      <c r="F12" s="798"/>
      <c r="G12" s="175">
        <f>E12+F12</f>
        <v>0</v>
      </c>
      <c r="H12" s="175">
        <f>G12-K12-J12-I12</f>
        <v>0</v>
      </c>
      <c r="I12" s="798"/>
      <c r="J12" s="798"/>
      <c r="K12" s="798"/>
      <c r="L12" s="175">
        <f>(F12+K12)/2</f>
        <v>0</v>
      </c>
      <c r="M12" s="798"/>
      <c r="N12" s="798"/>
      <c r="O12" s="798"/>
      <c r="P12" s="798"/>
      <c r="Q12" s="250"/>
      <c r="R12" s="388"/>
    </row>
    <row r="13" spans="2:18" ht="13.8">
      <c r="B13" s="251">
        <f t="shared" si="0"/>
        <v>6</v>
      </c>
      <c r="C13" s="168"/>
      <c r="D13" s="170"/>
      <c r="E13" s="175"/>
      <c r="F13" s="443"/>
      <c r="G13" s="175"/>
      <c r="H13" s="175"/>
      <c r="I13" s="175"/>
      <c r="J13" s="443"/>
      <c r="K13" s="443"/>
      <c r="L13" s="443"/>
      <c r="M13" s="443"/>
      <c r="N13" s="443"/>
      <c r="O13" s="443"/>
      <c r="P13" s="443"/>
      <c r="Q13" s="175"/>
      <c r="R13" s="170"/>
    </row>
    <row r="14" spans="2:18" ht="13.8">
      <c r="B14" s="251">
        <f t="shared" si="0"/>
        <v>7</v>
      </c>
      <c r="C14" s="168"/>
      <c r="D14" s="176" t="s">
        <v>40</v>
      </c>
      <c r="E14" s="175">
        <f>SUM(E8:E12)</f>
        <v>0</v>
      </c>
      <c r="F14" s="175">
        <f t="shared" ref="F14:P14" si="1">SUM(F8:F12)</f>
        <v>3444198</v>
      </c>
      <c r="G14" s="175">
        <f t="shared" si="1"/>
        <v>3444198</v>
      </c>
      <c r="H14" s="175">
        <f t="shared" si="1"/>
        <v>132625</v>
      </c>
      <c r="I14" s="175">
        <f t="shared" si="1"/>
        <v>0</v>
      </c>
      <c r="J14" s="175">
        <f t="shared" si="1"/>
        <v>0</v>
      </c>
      <c r="K14" s="175">
        <f t="shared" si="1"/>
        <v>3311573</v>
      </c>
      <c r="L14" s="175">
        <f t="shared" si="1"/>
        <v>3377885.5</v>
      </c>
      <c r="M14" s="175">
        <f t="shared" si="1"/>
        <v>-140454.5</v>
      </c>
      <c r="N14" s="175">
        <f t="shared" si="1"/>
        <v>0</v>
      </c>
      <c r="O14" s="175">
        <f>SUM(O8:O12)</f>
        <v>3518340</v>
      </c>
      <c r="P14" s="175">
        <f t="shared" si="1"/>
        <v>0</v>
      </c>
      <c r="Q14" s="175"/>
      <c r="R14" s="170"/>
    </row>
    <row r="15" spans="2:18" ht="13.8">
      <c r="B15" s="251">
        <f t="shared" si="0"/>
        <v>8</v>
      </c>
      <c r="C15" s="383"/>
      <c r="D15" s="176" t="s">
        <v>41</v>
      </c>
      <c r="E15" s="175"/>
      <c r="F15" s="177"/>
      <c r="G15" s="175"/>
      <c r="H15" s="175"/>
      <c r="I15" s="175"/>
      <c r="J15" s="177"/>
      <c r="K15" s="177"/>
      <c r="L15" s="177"/>
      <c r="M15" s="442">
        <f>0</f>
        <v>0</v>
      </c>
      <c r="N15" s="442">
        <f>1</f>
        <v>1</v>
      </c>
      <c r="O15" s="442">
        <f>AppendixA!$H$27</f>
        <v>7.4491583404762904E-2</v>
      </c>
      <c r="P15" s="442">
        <f>AppendixA!$H$16</f>
        <v>4.4161101816983732E-2</v>
      </c>
      <c r="Q15" s="170"/>
      <c r="R15" s="170"/>
    </row>
    <row r="16" spans="2:18" ht="13.8">
      <c r="B16" s="251">
        <f t="shared" si="0"/>
        <v>9</v>
      </c>
      <c r="C16" s="168"/>
      <c r="D16" s="176" t="s">
        <v>1301</v>
      </c>
      <c r="E16" s="175"/>
      <c r="F16" s="175"/>
      <c r="G16" s="175"/>
      <c r="H16" s="175"/>
      <c r="I16" s="175"/>
      <c r="J16" s="175"/>
      <c r="K16" s="175"/>
      <c r="L16" s="175"/>
      <c r="M16" s="175">
        <f>M14*M15</f>
        <v>0</v>
      </c>
      <c r="N16" s="175">
        <f>N14*N15</f>
        <v>0</v>
      </c>
      <c r="O16" s="175">
        <f>O14*O15</f>
        <v>262086.71755631352</v>
      </c>
      <c r="P16" s="175">
        <f>P14*P15</f>
        <v>0</v>
      </c>
      <c r="Q16" s="444">
        <f>SUM(M16:P16)</f>
        <v>262086.71755631352</v>
      </c>
      <c r="R16" s="170"/>
    </row>
    <row r="17" spans="2:18" ht="13.8">
      <c r="B17" s="251">
        <f t="shared" si="0"/>
        <v>10</v>
      </c>
      <c r="C17" s="168"/>
      <c r="D17" s="176"/>
      <c r="E17" s="175"/>
      <c r="F17" s="175"/>
      <c r="G17" s="175"/>
      <c r="H17" s="175"/>
      <c r="I17" s="175"/>
      <c r="J17" s="175"/>
      <c r="K17" s="175"/>
      <c r="L17" s="175"/>
      <c r="M17" s="255"/>
      <c r="N17" s="255"/>
      <c r="O17" s="175"/>
      <c r="P17" s="175"/>
      <c r="Q17" s="175"/>
      <c r="R17" s="170"/>
    </row>
    <row r="18" spans="2:18" ht="13.8">
      <c r="B18" s="251">
        <f t="shared" si="0"/>
        <v>11</v>
      </c>
      <c r="C18" s="168"/>
      <c r="D18" s="176"/>
      <c r="E18" s="175"/>
      <c r="F18" s="175"/>
      <c r="G18" s="175"/>
      <c r="H18" s="175"/>
      <c r="I18" s="175"/>
      <c r="J18" s="175"/>
      <c r="K18" s="175"/>
      <c r="L18" s="175"/>
      <c r="M18" s="255"/>
      <c r="N18" s="255"/>
      <c r="O18" s="175"/>
      <c r="P18" s="175"/>
      <c r="Q18" s="175"/>
      <c r="R18" s="170"/>
    </row>
    <row r="19" spans="2:18" ht="13.8">
      <c r="B19" s="251">
        <f t="shared" si="0"/>
        <v>12</v>
      </c>
      <c r="C19" s="168">
        <v>182.3</v>
      </c>
      <c r="D19" s="794" t="str">
        <f>+'1.5.1b-EDIT Remeasure '!D31</f>
        <v>Regulatory Assets / Liabilities</v>
      </c>
      <c r="E19" s="175">
        <f>'1.5.1b-EDIT Remeasure '!J31</f>
        <v>0</v>
      </c>
      <c r="F19" s="175">
        <f>+Inputs!D207</f>
        <v>0</v>
      </c>
      <c r="G19" s="175">
        <f>E19+F19</f>
        <v>0</v>
      </c>
      <c r="H19" s="175">
        <f>G19-K19-J19-I19</f>
        <v>0</v>
      </c>
      <c r="I19" s="798"/>
      <c r="J19" s="798"/>
      <c r="K19" s="175">
        <f>+Inputs!D208</f>
        <v>0</v>
      </c>
      <c r="L19" s="175">
        <f t="shared" ref="L19:L31" si="2">(F19+K19)/2</f>
        <v>0</v>
      </c>
      <c r="M19" s="806"/>
      <c r="N19" s="806"/>
      <c r="O19" s="798">
        <f>+L19</f>
        <v>0</v>
      </c>
      <c r="P19" s="798"/>
      <c r="Q19" s="175"/>
      <c r="R19" s="807"/>
    </row>
    <row r="20" spans="2:18" ht="13.8">
      <c r="B20" s="251">
        <f t="shared" si="0"/>
        <v>13</v>
      </c>
      <c r="C20" s="793">
        <v>182.3</v>
      </c>
      <c r="D20" s="794" t="str">
        <f>+'1.5.1b-EDIT Remeasure '!D32</f>
        <v>Unbilled Revenue</v>
      </c>
      <c r="E20" s="175">
        <f>'1.5.1b-EDIT Remeasure '!J32</f>
        <v>0</v>
      </c>
      <c r="F20" s="175">
        <f>+Inputs!D209</f>
        <v>0</v>
      </c>
      <c r="G20" s="175">
        <f t="shared" ref="G20:G28" si="3">E20+F20</f>
        <v>0</v>
      </c>
      <c r="H20" s="175">
        <f t="shared" ref="H20:H31" si="4">G20-K20-J20-I20</f>
        <v>0</v>
      </c>
      <c r="I20" s="798"/>
      <c r="J20" s="798"/>
      <c r="K20" s="175">
        <f>+Inputs!D210</f>
        <v>0</v>
      </c>
      <c r="L20" s="175">
        <f t="shared" si="2"/>
        <v>0</v>
      </c>
      <c r="M20" s="798"/>
      <c r="N20" s="798"/>
      <c r="O20" s="798">
        <f>L20</f>
        <v>0</v>
      </c>
      <c r="P20" s="798"/>
      <c r="Q20" s="249"/>
      <c r="R20" s="388"/>
    </row>
    <row r="21" spans="2:18" ht="13.8">
      <c r="B21" s="251">
        <f t="shared" si="0"/>
        <v>14</v>
      </c>
      <c r="C21" s="793">
        <v>182.3</v>
      </c>
      <c r="D21" s="794" t="str">
        <f>+'1.5.1b-EDIT Remeasure '!D33</f>
        <v>Compensation Accruals</v>
      </c>
      <c r="E21" s="175">
        <f>'1.5.1b-EDIT Remeasure '!J33</f>
        <v>0</v>
      </c>
      <c r="F21" s="175">
        <f>+Inputs!D211</f>
        <v>0</v>
      </c>
      <c r="G21" s="175">
        <f t="shared" si="3"/>
        <v>0</v>
      </c>
      <c r="H21" s="175">
        <f t="shared" si="4"/>
        <v>0</v>
      </c>
      <c r="I21" s="798"/>
      <c r="J21" s="798"/>
      <c r="K21" s="175">
        <f>+Inputs!D212</f>
        <v>0</v>
      </c>
      <c r="L21" s="175">
        <f t="shared" si="2"/>
        <v>0</v>
      </c>
      <c r="M21" s="798"/>
      <c r="N21" s="798"/>
      <c r="O21" s="798"/>
      <c r="P21" s="798">
        <f>L21</f>
        <v>0</v>
      </c>
      <c r="Q21" s="250"/>
      <c r="R21" s="388"/>
    </row>
    <row r="22" spans="2:18" ht="13.8">
      <c r="B22" s="251">
        <f t="shared" si="0"/>
        <v>15</v>
      </c>
      <c r="C22" s="793">
        <v>182.3</v>
      </c>
      <c r="D22" s="794" t="str">
        <f>+'1.5.1b-EDIT Remeasure '!D34</f>
        <v>Reserves &amp; Accruals</v>
      </c>
      <c r="E22" s="175">
        <f>'1.5.1b-EDIT Remeasure '!J34</f>
        <v>0</v>
      </c>
      <c r="F22" s="175">
        <f>+Inputs!D213</f>
        <v>0</v>
      </c>
      <c r="G22" s="175">
        <f t="shared" si="3"/>
        <v>0</v>
      </c>
      <c r="H22" s="175">
        <f t="shared" si="4"/>
        <v>0</v>
      </c>
      <c r="I22" s="798"/>
      <c r="J22" s="798"/>
      <c r="K22" s="175">
        <f>+Inputs!D214</f>
        <v>0</v>
      </c>
      <c r="L22" s="175">
        <f t="shared" si="2"/>
        <v>0</v>
      </c>
      <c r="M22" s="798"/>
      <c r="N22" s="798"/>
      <c r="O22" s="798">
        <f>L22</f>
        <v>0</v>
      </c>
      <c r="P22" s="798"/>
      <c r="Q22" s="250"/>
      <c r="R22" s="388"/>
    </row>
    <row r="23" spans="2:18" ht="13.8">
      <c r="B23" s="251">
        <f t="shared" si="0"/>
        <v>16</v>
      </c>
      <c r="C23" s="793">
        <v>182.3</v>
      </c>
      <c r="D23" s="794" t="str">
        <f>+'1.5.1b-EDIT Remeasure '!D35</f>
        <v>Pension / Postretirement Benefits</v>
      </c>
      <c r="E23" s="175">
        <f>'1.5.1b-EDIT Remeasure '!J35</f>
        <v>0</v>
      </c>
      <c r="F23" s="175">
        <f>+Inputs!D215</f>
        <v>0</v>
      </c>
      <c r="G23" s="175">
        <f t="shared" si="3"/>
        <v>0</v>
      </c>
      <c r="H23" s="175">
        <f t="shared" si="4"/>
        <v>0</v>
      </c>
      <c r="I23" s="798"/>
      <c r="J23" s="798"/>
      <c r="K23" s="175">
        <f>+Inputs!D216</f>
        <v>0</v>
      </c>
      <c r="L23" s="175">
        <f t="shared" si="2"/>
        <v>0</v>
      </c>
      <c r="M23" s="798"/>
      <c r="N23" s="798"/>
      <c r="O23" s="798"/>
      <c r="P23" s="798">
        <f>L23</f>
        <v>0</v>
      </c>
      <c r="Q23" s="250"/>
      <c r="R23" s="388"/>
    </row>
    <row r="24" spans="2:18" ht="13.8">
      <c r="B24" s="251">
        <f t="shared" si="0"/>
        <v>17</v>
      </c>
      <c r="C24" s="793">
        <v>182.3</v>
      </c>
      <c r="D24" s="794" t="str">
        <f>+'1.5.1b-EDIT Remeasure '!D36</f>
        <v>Environmental Liability</v>
      </c>
      <c r="E24" s="175">
        <f>'1.5.1b-EDIT Remeasure '!J36</f>
        <v>0</v>
      </c>
      <c r="F24" s="175">
        <f>+Inputs!D217</f>
        <v>0</v>
      </c>
      <c r="G24" s="175">
        <f t="shared" si="3"/>
        <v>0</v>
      </c>
      <c r="H24" s="175">
        <f>G24-K24-J24-I24</f>
        <v>0</v>
      </c>
      <c r="I24" s="798"/>
      <c r="J24" s="798"/>
      <c r="K24" s="175">
        <f>+Inputs!D218</f>
        <v>0</v>
      </c>
      <c r="L24" s="175">
        <f t="shared" si="2"/>
        <v>0</v>
      </c>
      <c r="M24" s="798">
        <f>L24</f>
        <v>0</v>
      </c>
      <c r="N24" s="798"/>
      <c r="O24" s="798"/>
      <c r="P24" s="798"/>
      <c r="Q24" s="250"/>
      <c r="R24" s="388"/>
    </row>
    <row r="25" spans="2:18" ht="13.8">
      <c r="B25" s="251">
        <f t="shared" si="0"/>
        <v>18</v>
      </c>
      <c r="C25" s="793">
        <v>182.3</v>
      </c>
      <c r="D25" s="794" t="str">
        <f>+'1.5.1b-EDIT Remeasure '!D37</f>
        <v>Interest Rate Hedge</v>
      </c>
      <c r="E25" s="175">
        <f>'1.5.1b-EDIT Remeasure '!J37</f>
        <v>0</v>
      </c>
      <c r="F25" s="175">
        <f>+Inputs!D219</f>
        <v>0</v>
      </c>
      <c r="G25" s="175">
        <f>E25+F25</f>
        <v>0</v>
      </c>
      <c r="H25" s="175">
        <f t="shared" si="4"/>
        <v>0</v>
      </c>
      <c r="I25" s="798"/>
      <c r="J25" s="798"/>
      <c r="K25" s="175">
        <f>+Inputs!D220</f>
        <v>0</v>
      </c>
      <c r="L25" s="175">
        <f t="shared" si="2"/>
        <v>0</v>
      </c>
      <c r="M25" s="798">
        <f>+L25</f>
        <v>0</v>
      </c>
      <c r="N25" s="798"/>
      <c r="O25" s="798"/>
      <c r="P25" s="798"/>
      <c r="Q25" s="250"/>
      <c r="R25" s="388"/>
    </row>
    <row r="26" spans="2:18" ht="13.8">
      <c r="B26" s="251">
        <f t="shared" si="0"/>
        <v>19</v>
      </c>
      <c r="C26" s="793">
        <v>182.3</v>
      </c>
      <c r="D26" s="794" t="str">
        <f>+'1.5.1b-EDIT Remeasure '!D38</f>
        <v>Customer Advances</v>
      </c>
      <c r="E26" s="175">
        <f>'1.5.1b-EDIT Remeasure '!J38</f>
        <v>0</v>
      </c>
      <c r="F26" s="175">
        <f>+Inputs!D221</f>
        <v>0</v>
      </c>
      <c r="G26" s="175">
        <f>E26+F26</f>
        <v>0</v>
      </c>
      <c r="H26" s="175">
        <f t="shared" si="4"/>
        <v>0</v>
      </c>
      <c r="I26" s="798"/>
      <c r="J26" s="798"/>
      <c r="K26" s="175">
        <f>+Inputs!D222</f>
        <v>0</v>
      </c>
      <c r="L26" s="175">
        <f t="shared" si="2"/>
        <v>0</v>
      </c>
      <c r="M26" s="798">
        <f>+L26</f>
        <v>0</v>
      </c>
      <c r="N26" s="798"/>
      <c r="O26" s="798"/>
      <c r="P26" s="798"/>
      <c r="Q26" s="250"/>
      <c r="R26" s="388"/>
    </row>
    <row r="27" spans="2:18" ht="13.8">
      <c r="B27" s="251">
        <f t="shared" si="0"/>
        <v>20</v>
      </c>
      <c r="C27" s="793">
        <v>182.3</v>
      </c>
      <c r="D27" s="794" t="str">
        <f>+'1.5.1b-EDIT Remeasure '!D39</f>
        <v>Net Operating Loss</v>
      </c>
      <c r="E27" s="175">
        <f>'1.5.1b-EDIT Remeasure '!J39</f>
        <v>0</v>
      </c>
      <c r="F27" s="175">
        <f>+Inputs!D223</f>
        <v>0</v>
      </c>
      <c r="G27" s="175">
        <f>E27+F27</f>
        <v>0</v>
      </c>
      <c r="H27" s="175">
        <f t="shared" si="4"/>
        <v>0</v>
      </c>
      <c r="I27" s="798"/>
      <c r="J27" s="798"/>
      <c r="K27" s="175">
        <f>+Inputs!D224</f>
        <v>0</v>
      </c>
      <c r="L27" s="175">
        <f>(F27+K27)/2</f>
        <v>0</v>
      </c>
      <c r="M27" s="798"/>
      <c r="N27" s="798"/>
      <c r="O27" s="798">
        <f>L27</f>
        <v>0</v>
      </c>
      <c r="P27" s="798"/>
      <c r="Q27" s="250"/>
      <c r="R27" s="805"/>
    </row>
    <row r="28" spans="2:18" ht="13.8">
      <c r="B28" s="251">
        <f t="shared" si="0"/>
        <v>21</v>
      </c>
      <c r="C28" s="793">
        <v>182.3</v>
      </c>
      <c r="D28" s="794" t="str">
        <f>+'1.5.1b-EDIT Remeasure '!D40</f>
        <v>Non-jurisdictional (SD Gas, NE Gas)</v>
      </c>
      <c r="E28" s="175">
        <f>'1.5.1b-EDIT Remeasure '!J40</f>
        <v>0</v>
      </c>
      <c r="F28" s="175">
        <f>+Inputs!D225</f>
        <v>1753722</v>
      </c>
      <c r="G28" s="175">
        <f t="shared" si="3"/>
        <v>1753722</v>
      </c>
      <c r="H28" s="175">
        <f t="shared" si="4"/>
        <v>338365</v>
      </c>
      <c r="I28" s="798"/>
      <c r="J28" s="798"/>
      <c r="K28" s="175">
        <f>+Inputs!D226</f>
        <v>1415357</v>
      </c>
      <c r="L28" s="175">
        <f t="shared" si="2"/>
        <v>1584539.5</v>
      </c>
      <c r="M28" s="798">
        <f>L28</f>
        <v>1584539.5</v>
      </c>
      <c r="N28" s="798"/>
      <c r="O28" s="798"/>
      <c r="P28" s="798"/>
      <c r="Q28" s="250"/>
      <c r="R28" s="388"/>
    </row>
    <row r="29" spans="2:18" ht="13.8">
      <c r="B29" s="251">
        <f t="shared" si="0"/>
        <v>22</v>
      </c>
      <c r="C29" s="387"/>
      <c r="D29" s="808"/>
      <c r="E29" s="175">
        <f>'1.5.1b-EDIT Remeasure '!J41</f>
        <v>0</v>
      </c>
      <c r="F29" s="808"/>
      <c r="G29" s="175">
        <f>E29+F29</f>
        <v>0</v>
      </c>
      <c r="H29" s="175">
        <f t="shared" si="4"/>
        <v>0</v>
      </c>
      <c r="I29" s="798"/>
      <c r="J29" s="808"/>
      <c r="K29" s="808"/>
      <c r="L29" s="175">
        <f t="shared" si="2"/>
        <v>0</v>
      </c>
      <c r="M29" s="808"/>
      <c r="N29" s="808"/>
      <c r="O29" s="808"/>
      <c r="P29" s="808"/>
      <c r="R29" s="808"/>
    </row>
    <row r="30" spans="2:18" ht="13.8">
      <c r="B30" s="251">
        <f t="shared" si="0"/>
        <v>23</v>
      </c>
      <c r="C30" s="387"/>
      <c r="D30" s="388"/>
      <c r="E30" s="175">
        <f>'1.5.1b-EDIT Remeasure '!J42</f>
        <v>0</v>
      </c>
      <c r="F30" s="798"/>
      <c r="G30" s="175">
        <f>E30+F30</f>
        <v>0</v>
      </c>
      <c r="H30" s="175">
        <f t="shared" si="4"/>
        <v>0</v>
      </c>
      <c r="I30" s="798"/>
      <c r="J30" s="798"/>
      <c r="K30" s="798"/>
      <c r="L30" s="175">
        <f t="shared" si="2"/>
        <v>0</v>
      </c>
      <c r="M30" s="798"/>
      <c r="N30" s="798"/>
      <c r="O30" s="798"/>
      <c r="P30" s="798"/>
      <c r="Q30" s="250"/>
      <c r="R30" s="388"/>
    </row>
    <row r="31" spans="2:18" ht="13.8">
      <c r="B31" s="251">
        <f t="shared" si="0"/>
        <v>24</v>
      </c>
      <c r="C31" s="387"/>
      <c r="D31" s="388"/>
      <c r="E31" s="175">
        <f>'1.5.1b-EDIT Remeasure '!J43</f>
        <v>0</v>
      </c>
      <c r="F31" s="798"/>
      <c r="G31" s="175">
        <f>E31+F31</f>
        <v>0</v>
      </c>
      <c r="H31" s="175">
        <f t="shared" si="4"/>
        <v>0</v>
      </c>
      <c r="I31" s="798"/>
      <c r="J31" s="798"/>
      <c r="K31" s="798"/>
      <c r="L31" s="175">
        <f t="shared" si="2"/>
        <v>0</v>
      </c>
      <c r="M31" s="798"/>
      <c r="N31" s="798"/>
      <c r="O31" s="798"/>
      <c r="P31" s="798"/>
      <c r="Q31" s="250"/>
      <c r="R31" s="388"/>
    </row>
    <row r="32" spans="2:18" ht="13.8">
      <c r="B32" s="251">
        <f t="shared" si="0"/>
        <v>25</v>
      </c>
      <c r="C32" s="168"/>
      <c r="D32" s="170"/>
      <c r="E32" s="175"/>
      <c r="F32" s="443"/>
      <c r="G32" s="175"/>
      <c r="H32" s="175"/>
      <c r="I32" s="175"/>
      <c r="J32" s="443"/>
      <c r="K32" s="443"/>
      <c r="L32" s="443"/>
      <c r="M32" s="443"/>
      <c r="N32" s="443"/>
      <c r="O32" s="443"/>
      <c r="P32" s="443"/>
      <c r="Q32" s="175"/>
      <c r="R32" s="170"/>
    </row>
    <row r="33" spans="2:18" ht="13.8">
      <c r="B33" s="251">
        <f t="shared" si="0"/>
        <v>26</v>
      </c>
      <c r="C33" s="168"/>
      <c r="D33" s="176" t="s">
        <v>40</v>
      </c>
      <c r="E33" s="175">
        <f>SUM(E19:E31)</f>
        <v>0</v>
      </c>
      <c r="F33" s="175">
        <f t="shared" ref="F33:P33" si="5">SUM(F19:F31)</f>
        <v>1753722</v>
      </c>
      <c r="G33" s="175">
        <f t="shared" si="5"/>
        <v>1753722</v>
      </c>
      <c r="H33" s="175">
        <f t="shared" si="5"/>
        <v>338365</v>
      </c>
      <c r="I33" s="175">
        <f t="shared" si="5"/>
        <v>0</v>
      </c>
      <c r="J33" s="175">
        <f t="shared" si="5"/>
        <v>0</v>
      </c>
      <c r="K33" s="175">
        <f t="shared" si="5"/>
        <v>1415357</v>
      </c>
      <c r="L33" s="175">
        <f t="shared" si="5"/>
        <v>1584539.5</v>
      </c>
      <c r="M33" s="175">
        <f t="shared" si="5"/>
        <v>1584539.5</v>
      </c>
      <c r="N33" s="175">
        <f t="shared" si="5"/>
        <v>0</v>
      </c>
      <c r="O33" s="175">
        <f t="shared" si="5"/>
        <v>0</v>
      </c>
      <c r="P33" s="175">
        <f t="shared" si="5"/>
        <v>0</v>
      </c>
      <c r="Q33" s="175"/>
      <c r="R33" s="170"/>
    </row>
    <row r="34" spans="2:18" ht="14.4" thickBot="1">
      <c r="B34" s="251">
        <f t="shared" si="0"/>
        <v>27</v>
      </c>
      <c r="C34" s="168"/>
      <c r="D34" s="176" t="s">
        <v>1314</v>
      </c>
      <c r="E34" s="175"/>
      <c r="F34" s="175">
        <f>F14+F33</f>
        <v>5197920</v>
      </c>
      <c r="G34" s="175"/>
      <c r="H34" s="175"/>
      <c r="I34" s="175"/>
      <c r="J34" s="175"/>
      <c r="K34" s="175">
        <f>K14+K33</f>
        <v>4726930</v>
      </c>
      <c r="L34" s="175">
        <f>L14+L33</f>
        <v>4962425</v>
      </c>
      <c r="M34" s="175"/>
      <c r="N34" s="175"/>
      <c r="O34" s="175"/>
      <c r="P34" s="175"/>
      <c r="Q34" s="175"/>
      <c r="R34" s="170"/>
    </row>
    <row r="35" spans="2:18" ht="28.2" thickBot="1">
      <c r="B35" s="251">
        <f t="shared" si="0"/>
        <v>28</v>
      </c>
      <c r="C35" s="168"/>
      <c r="D35" s="731" t="s">
        <v>1592</v>
      </c>
      <c r="E35" s="175"/>
      <c r="F35" s="511">
        <f>+Inputs!D241</f>
        <v>5197920</v>
      </c>
      <c r="G35" s="809"/>
      <c r="H35" s="809"/>
      <c r="I35" s="809"/>
      <c r="J35" s="809"/>
      <c r="K35" s="511">
        <f>+Inputs!D242</f>
        <v>4726930</v>
      </c>
      <c r="L35" s="175"/>
      <c r="M35" s="175"/>
      <c r="N35" s="175"/>
      <c r="O35" s="175"/>
      <c r="P35" s="175"/>
      <c r="Q35" s="175"/>
      <c r="R35" s="170"/>
    </row>
    <row r="36" spans="2:18" ht="13.8">
      <c r="B36" s="251">
        <f t="shared" si="0"/>
        <v>29</v>
      </c>
      <c r="C36" s="383"/>
      <c r="D36" s="810" t="s">
        <v>41</v>
      </c>
      <c r="E36" s="175"/>
      <c r="F36" s="177"/>
      <c r="G36" s="175"/>
      <c r="H36" s="175"/>
      <c r="I36" s="175"/>
      <c r="J36" s="177"/>
      <c r="K36" s="177"/>
      <c r="L36" s="177"/>
      <c r="M36" s="442">
        <f>+M15</f>
        <v>0</v>
      </c>
      <c r="N36" s="442">
        <f>+N15</f>
        <v>1</v>
      </c>
      <c r="O36" s="442">
        <f>AppendixA!$H$27</f>
        <v>7.4491583404762904E-2</v>
      </c>
      <c r="P36" s="442">
        <f>AppendixA!$H$16</f>
        <v>4.4161101816983732E-2</v>
      </c>
      <c r="Q36" s="170"/>
      <c r="R36" s="170"/>
    </row>
    <row r="37" spans="2:18" ht="13.8">
      <c r="B37" s="251">
        <f t="shared" si="0"/>
        <v>30</v>
      </c>
      <c r="C37" s="168"/>
      <c r="D37" s="176" t="s">
        <v>1302</v>
      </c>
      <c r="E37" s="175"/>
      <c r="F37" s="443"/>
      <c r="G37" s="175"/>
      <c r="H37" s="175"/>
      <c r="I37" s="175"/>
      <c r="J37" s="443"/>
      <c r="K37" s="443"/>
      <c r="L37" s="443"/>
      <c r="M37" s="175">
        <f>M33*M36</f>
        <v>0</v>
      </c>
      <c r="N37" s="175">
        <f>N33*N36</f>
        <v>0</v>
      </c>
      <c r="O37" s="175">
        <f>O33*O36</f>
        <v>0</v>
      </c>
      <c r="P37" s="175">
        <f>P33*P36</f>
        <v>0</v>
      </c>
      <c r="Q37" s="444">
        <f>SUM(M37:P37)</f>
        <v>0</v>
      </c>
      <c r="R37" s="170"/>
    </row>
    <row r="38" spans="2:18" ht="14.4" thickBot="1">
      <c r="B38" s="251">
        <f t="shared" si="0"/>
        <v>31</v>
      </c>
      <c r="C38" s="168"/>
      <c r="D38" s="176"/>
      <c r="E38" s="175"/>
      <c r="F38" s="443"/>
      <c r="G38" s="175"/>
      <c r="H38" s="175"/>
      <c r="I38" s="175"/>
      <c r="J38" s="443"/>
      <c r="K38" s="443"/>
      <c r="L38" s="443"/>
      <c r="M38" s="175"/>
      <c r="N38" s="175"/>
      <c r="O38" s="175"/>
      <c r="P38" s="175"/>
      <c r="Q38" s="443"/>
      <c r="R38" s="170"/>
    </row>
    <row r="39" spans="2:18" ht="28.2" thickBot="1">
      <c r="B39" s="251">
        <f t="shared" si="0"/>
        <v>32</v>
      </c>
      <c r="C39" s="168"/>
      <c r="D39" s="731" t="s">
        <v>1474</v>
      </c>
      <c r="E39" s="175"/>
      <c r="F39" s="443"/>
      <c r="G39" s="175"/>
      <c r="H39" s="175"/>
      <c r="I39" s="175"/>
      <c r="J39" s="443"/>
      <c r="K39" s="443"/>
      <c r="L39" s="443"/>
      <c r="M39" s="443"/>
      <c r="N39" s="443"/>
      <c r="O39" s="443"/>
      <c r="P39" s="443"/>
      <c r="Q39" s="811">
        <f>Q16+Q37</f>
        <v>262086.71755631352</v>
      </c>
      <c r="R39" s="170" t="s">
        <v>1306</v>
      </c>
    </row>
    <row r="40" spans="2:18" ht="13.8">
      <c r="B40" s="251">
        <f t="shared" si="0"/>
        <v>33</v>
      </c>
      <c r="C40" s="168"/>
      <c r="D40" s="176"/>
      <c r="E40" s="175"/>
      <c r="F40" s="443"/>
      <c r="G40" s="175"/>
      <c r="H40" s="175"/>
      <c r="I40" s="175"/>
      <c r="J40" s="443"/>
      <c r="K40" s="443"/>
      <c r="L40" s="443"/>
      <c r="M40" s="443"/>
      <c r="N40" s="443"/>
      <c r="O40" s="443"/>
      <c r="P40" s="443"/>
      <c r="Q40" s="443"/>
      <c r="R40" s="170"/>
    </row>
    <row r="41" spans="2:18" ht="13.8">
      <c r="B41" s="251">
        <f t="shared" si="0"/>
        <v>34</v>
      </c>
      <c r="C41" s="168"/>
      <c r="D41" s="176"/>
      <c r="E41" s="175"/>
      <c r="F41" s="178"/>
      <c r="G41" s="175"/>
      <c r="H41" s="175"/>
      <c r="I41" s="175"/>
      <c r="J41" s="178"/>
      <c r="K41" s="178"/>
      <c r="L41" s="178"/>
      <c r="M41" s="178"/>
      <c r="N41" s="178"/>
      <c r="O41" s="178"/>
      <c r="P41" s="178"/>
      <c r="Q41" s="178"/>
      <c r="R41" s="170"/>
    </row>
    <row r="42" spans="2:18" ht="28.2" customHeight="1">
      <c r="B42" s="251">
        <f t="shared" si="0"/>
        <v>35</v>
      </c>
      <c r="C42" s="793">
        <v>254</v>
      </c>
      <c r="D42" s="794" t="str">
        <f>+'1.5.1b-EDIT Remeasure '!D54</f>
        <v>Accel Depr &amp; Amort. - Protected</v>
      </c>
      <c r="E42" s="175">
        <f>'1.5.1b-EDIT Remeasure '!J54</f>
        <v>0</v>
      </c>
      <c r="F42" s="175">
        <f>+Inputs!D227</f>
        <v>-13207310</v>
      </c>
      <c r="G42" s="175">
        <f>E42+F42</f>
        <v>-13207310</v>
      </c>
      <c r="H42" s="175">
        <f>G42-K42-J42-I42</f>
        <v>-590098</v>
      </c>
      <c r="I42" s="798"/>
      <c r="J42" s="798"/>
      <c r="K42" s="175">
        <f>+Inputs!D228</f>
        <v>-12617212</v>
      </c>
      <c r="L42" s="175">
        <f>(F42+K42)/2</f>
        <v>-12912261</v>
      </c>
      <c r="M42" s="798"/>
      <c r="N42" s="798"/>
      <c r="O42" s="798">
        <f>L42</f>
        <v>-12912261</v>
      </c>
      <c r="P42" s="798"/>
      <c r="Q42" s="812"/>
      <c r="R42" s="388"/>
    </row>
    <row r="43" spans="2:18" ht="13.8">
      <c r="B43" s="251">
        <f t="shared" si="0"/>
        <v>36</v>
      </c>
      <c r="C43" s="793">
        <v>254</v>
      </c>
      <c r="D43" s="794" t="str">
        <f>+'1.5.1b-EDIT Remeasure '!D55</f>
        <v>Non-jurisdictional (SD Gas, NE Gas) - Protected</v>
      </c>
      <c r="E43" s="175">
        <f>'1.5.1b-EDIT Remeasure '!J55</f>
        <v>0</v>
      </c>
      <c r="F43" s="175">
        <f>+Inputs!D229</f>
        <v>644161</v>
      </c>
      <c r="G43" s="175">
        <f>E43+F43</f>
        <v>644161</v>
      </c>
      <c r="H43" s="175">
        <f>G43-K43-J43-I43</f>
        <v>-81017</v>
      </c>
      <c r="I43" s="798"/>
      <c r="J43" s="798"/>
      <c r="K43" s="175">
        <f>+Inputs!D230</f>
        <v>725178</v>
      </c>
      <c r="L43" s="175">
        <f>(F43+K43)/2</f>
        <v>684669.5</v>
      </c>
      <c r="M43" s="798">
        <f>L43</f>
        <v>684669.5</v>
      </c>
      <c r="N43" s="798"/>
      <c r="O43" s="798"/>
      <c r="P43" s="798"/>
      <c r="Q43" s="812"/>
      <c r="R43" s="388"/>
    </row>
    <row r="44" spans="2:18" ht="13.8">
      <c r="B44" s="251">
        <f t="shared" si="0"/>
        <v>37</v>
      </c>
      <c r="C44" s="387"/>
      <c r="D44" s="388"/>
      <c r="E44" s="175">
        <f>'1.5.1b-EDIT Remeasure '!J56</f>
        <v>0</v>
      </c>
      <c r="F44" s="798"/>
      <c r="G44" s="175">
        <f>E44+F44</f>
        <v>0</v>
      </c>
      <c r="H44" s="175">
        <f>G44-K44-J44-I44</f>
        <v>0</v>
      </c>
      <c r="I44" s="798"/>
      <c r="J44" s="798"/>
      <c r="K44" s="798"/>
      <c r="L44" s="175">
        <f>(F44+K44)/2</f>
        <v>0</v>
      </c>
      <c r="M44" s="798"/>
      <c r="N44" s="798"/>
      <c r="O44" s="798"/>
      <c r="P44" s="798"/>
      <c r="Q44" s="812"/>
      <c r="R44" s="388"/>
    </row>
    <row r="45" spans="2:18" ht="13.8">
      <c r="B45" s="251">
        <f t="shared" si="0"/>
        <v>38</v>
      </c>
      <c r="C45" s="387"/>
      <c r="D45" s="388"/>
      <c r="E45" s="175">
        <f>'1.5.1b-EDIT Remeasure '!J57</f>
        <v>0</v>
      </c>
      <c r="F45" s="798"/>
      <c r="G45" s="175">
        <f>E45+F45</f>
        <v>0</v>
      </c>
      <c r="H45" s="175">
        <f>G45-K45-J45-I45</f>
        <v>0</v>
      </c>
      <c r="I45" s="798"/>
      <c r="J45" s="798"/>
      <c r="K45" s="798"/>
      <c r="L45" s="175">
        <f>(F45+K45)/2</f>
        <v>0</v>
      </c>
      <c r="M45" s="798"/>
      <c r="N45" s="798"/>
      <c r="O45" s="798"/>
      <c r="P45" s="798"/>
      <c r="Q45" s="812"/>
      <c r="R45" s="388"/>
    </row>
    <row r="46" spans="2:18" ht="13.8">
      <c r="B46" s="251">
        <f t="shared" si="0"/>
        <v>39</v>
      </c>
      <c r="C46" s="387"/>
      <c r="D46" s="388"/>
      <c r="E46" s="175">
        <f>'1.5.1b-EDIT Remeasure '!J58</f>
        <v>0</v>
      </c>
      <c r="F46" s="798"/>
      <c r="G46" s="175">
        <f>E46+F46</f>
        <v>0</v>
      </c>
      <c r="H46" s="175">
        <f>G46-K46-J46-I46</f>
        <v>0</v>
      </c>
      <c r="I46" s="798"/>
      <c r="J46" s="798"/>
      <c r="K46" s="798"/>
      <c r="L46" s="175">
        <f>(F46+K46)/2</f>
        <v>0</v>
      </c>
      <c r="M46" s="798"/>
      <c r="N46" s="798"/>
      <c r="O46" s="798"/>
      <c r="P46" s="798"/>
      <c r="Q46" s="812"/>
      <c r="R46" s="388"/>
    </row>
    <row r="47" spans="2:18" ht="13.8">
      <c r="B47" s="251">
        <f t="shared" si="0"/>
        <v>40</v>
      </c>
      <c r="C47" s="382"/>
      <c r="D47" s="170"/>
      <c r="E47" s="175"/>
      <c r="F47" s="443"/>
      <c r="G47" s="175"/>
      <c r="H47" s="175"/>
      <c r="I47" s="175"/>
      <c r="J47" s="443"/>
      <c r="K47" s="443"/>
      <c r="L47" s="443"/>
      <c r="M47" s="443"/>
      <c r="N47" s="443"/>
      <c r="O47" s="443"/>
      <c r="P47" s="443"/>
      <c r="Q47" s="443"/>
      <c r="R47" s="179"/>
    </row>
    <row r="48" spans="2:18" ht="13.8">
      <c r="B48" s="251">
        <f t="shared" si="0"/>
        <v>41</v>
      </c>
      <c r="C48" s="382"/>
      <c r="D48" s="180" t="s">
        <v>492</v>
      </c>
      <c r="E48" s="175">
        <f>SUM(E42:E46)</f>
        <v>0</v>
      </c>
      <c r="F48" s="175">
        <f t="shared" ref="F48:P48" si="6">SUM(F42:F46)</f>
        <v>-12563149</v>
      </c>
      <c r="G48" s="175">
        <f t="shared" si="6"/>
        <v>-12563149</v>
      </c>
      <c r="H48" s="175">
        <f t="shared" si="6"/>
        <v>-671115</v>
      </c>
      <c r="I48" s="175">
        <f t="shared" si="6"/>
        <v>0</v>
      </c>
      <c r="J48" s="175">
        <f t="shared" si="6"/>
        <v>0</v>
      </c>
      <c r="K48" s="175">
        <f t="shared" si="6"/>
        <v>-11892034</v>
      </c>
      <c r="L48" s="175">
        <f t="shared" si="6"/>
        <v>-12227591.5</v>
      </c>
      <c r="M48" s="175">
        <f t="shared" si="6"/>
        <v>684669.5</v>
      </c>
      <c r="N48" s="175">
        <f t="shared" si="6"/>
        <v>0</v>
      </c>
      <c r="O48" s="175">
        <f t="shared" si="6"/>
        <v>-12912261</v>
      </c>
      <c r="P48" s="175">
        <f t="shared" si="6"/>
        <v>0</v>
      </c>
      <c r="Q48" s="443"/>
      <c r="R48" s="179"/>
    </row>
    <row r="49" spans="2:18" ht="13.8">
      <c r="B49" s="251">
        <f t="shared" si="0"/>
        <v>42</v>
      </c>
      <c r="C49" s="382"/>
      <c r="D49" s="176" t="s">
        <v>41</v>
      </c>
      <c r="E49" s="175"/>
      <c r="F49" s="177"/>
      <c r="G49" s="175"/>
      <c r="H49" s="175"/>
      <c r="I49" s="175"/>
      <c r="J49" s="177"/>
      <c r="K49" s="177"/>
      <c r="L49" s="177"/>
      <c r="M49" s="442">
        <f>M15</f>
        <v>0</v>
      </c>
      <c r="N49" s="442">
        <f>N15</f>
        <v>1</v>
      </c>
      <c r="O49" s="442">
        <f>AppendixA!$H$27</f>
        <v>7.4491583404762904E-2</v>
      </c>
      <c r="P49" s="442">
        <f>AppendixA!$H$16</f>
        <v>4.4161101816983732E-2</v>
      </c>
      <c r="Q49" s="170"/>
      <c r="R49" s="179"/>
    </row>
    <row r="50" spans="2:18" ht="13.8">
      <c r="B50" s="251">
        <f t="shared" si="0"/>
        <v>43</v>
      </c>
      <c r="C50" s="384"/>
      <c r="D50" s="176" t="s">
        <v>1307</v>
      </c>
      <c r="E50" s="175"/>
      <c r="F50" s="443"/>
      <c r="G50" s="175"/>
      <c r="H50" s="175"/>
      <c r="I50" s="175"/>
      <c r="J50" s="443"/>
      <c r="K50" s="443"/>
      <c r="L50" s="443"/>
      <c r="M50" s="175">
        <f>M48*M49</f>
        <v>0</v>
      </c>
      <c r="N50" s="175">
        <f>N48*N49</f>
        <v>0</v>
      </c>
      <c r="O50" s="175">
        <f>O48*O49</f>
        <v>-961854.76722556725</v>
      </c>
      <c r="P50" s="175">
        <f>P48*P49</f>
        <v>0</v>
      </c>
      <c r="Q50" s="444">
        <f>SUM(M50:P50)</f>
        <v>-961854.76722556725</v>
      </c>
      <c r="R50" s="170"/>
    </row>
    <row r="51" spans="2:18" ht="13.8">
      <c r="B51" s="251">
        <f t="shared" si="0"/>
        <v>44</v>
      </c>
      <c r="C51" s="384"/>
      <c r="D51" s="176"/>
      <c r="E51" s="175"/>
      <c r="F51" s="443"/>
      <c r="G51" s="175"/>
      <c r="H51" s="175"/>
      <c r="I51" s="175"/>
      <c r="J51" s="443"/>
      <c r="K51" s="443"/>
      <c r="L51" s="443"/>
      <c r="M51" s="443"/>
      <c r="N51" s="443"/>
      <c r="O51" s="443"/>
      <c r="P51" s="443"/>
      <c r="Q51" s="443"/>
      <c r="R51" s="170"/>
    </row>
    <row r="52" spans="2:18" ht="13.8">
      <c r="B52" s="251">
        <f t="shared" si="0"/>
        <v>45</v>
      </c>
      <c r="C52" s="384"/>
      <c r="D52" s="176"/>
      <c r="E52" s="175"/>
      <c r="F52" s="443"/>
      <c r="G52" s="175"/>
      <c r="H52" s="175"/>
      <c r="I52" s="175"/>
      <c r="J52" s="443"/>
      <c r="K52" s="443"/>
      <c r="L52" s="443"/>
      <c r="M52" s="443"/>
      <c r="N52" s="443"/>
      <c r="O52" s="443"/>
      <c r="P52" s="443"/>
      <c r="Q52" s="443"/>
      <c r="R52" s="170"/>
    </row>
    <row r="53" spans="2:18" ht="13.8">
      <c r="B53" s="251">
        <f t="shared" si="0"/>
        <v>46</v>
      </c>
      <c r="C53" s="384"/>
      <c r="D53" s="176"/>
      <c r="E53" s="175"/>
      <c r="F53" s="443"/>
      <c r="G53" s="175"/>
      <c r="H53" s="175"/>
      <c r="I53" s="175"/>
      <c r="J53" s="443"/>
      <c r="K53" s="443"/>
      <c r="L53" s="443"/>
      <c r="M53" s="813"/>
      <c r="N53" s="178"/>
      <c r="O53" s="443"/>
      <c r="P53" s="443"/>
      <c r="Q53" s="443"/>
      <c r="R53" s="170"/>
    </row>
    <row r="54" spans="2:18" ht="13.8">
      <c r="B54" s="251">
        <f t="shared" si="0"/>
        <v>47</v>
      </c>
      <c r="C54" s="793">
        <v>254</v>
      </c>
      <c r="D54" s="794" t="str">
        <f>+'1.5.1b-EDIT Remeasure '!D66</f>
        <v>Accel Depr &amp; Amort. - Unprotected (282)</v>
      </c>
      <c r="E54" s="175">
        <f>'1.5.1b-EDIT Remeasure '!J66</f>
        <v>0</v>
      </c>
      <c r="F54" s="175">
        <f>+Inputs!D231</f>
        <v>-12071806</v>
      </c>
      <c r="G54" s="175">
        <f t="shared" ref="G54:G60" si="7">E54+F54</f>
        <v>-12071806</v>
      </c>
      <c r="H54" s="175">
        <f>G54-K54-J54-I54</f>
        <v>-464843</v>
      </c>
      <c r="I54" s="798"/>
      <c r="J54" s="798"/>
      <c r="K54" s="175">
        <f>+Inputs!D234</f>
        <v>-11606963</v>
      </c>
      <c r="L54" s="175">
        <f t="shared" ref="L54:L60" si="8">(F54+K54)/2</f>
        <v>-11839384.5</v>
      </c>
      <c r="M54" s="798"/>
      <c r="N54" s="798"/>
      <c r="O54" s="798">
        <f>L54</f>
        <v>-11839384.5</v>
      </c>
      <c r="P54" s="798"/>
      <c r="Q54" s="812"/>
      <c r="R54" s="388"/>
    </row>
    <row r="55" spans="2:18" ht="13.8">
      <c r="B55" s="251">
        <f t="shared" si="0"/>
        <v>48</v>
      </c>
      <c r="C55" s="793">
        <v>254</v>
      </c>
      <c r="D55" s="794" t="str">
        <f>+'1.5.1b-EDIT Remeasure '!D67</f>
        <v>Non-jurisdictional (SD Gas, NE Gas) - Unprotected (282)</v>
      </c>
      <c r="E55" s="175">
        <f>'1.5.1b-EDIT Remeasure '!J67</f>
        <v>0</v>
      </c>
      <c r="F55" s="175">
        <f>+Inputs!D235</f>
        <v>-3151528</v>
      </c>
      <c r="G55" s="175">
        <f t="shared" si="7"/>
        <v>-3151528</v>
      </c>
      <c r="H55" s="175">
        <f t="shared" ref="H55:H60" si="9">G55-K55-J55-I55</f>
        <v>-121302</v>
      </c>
      <c r="I55" s="798"/>
      <c r="J55" s="798"/>
      <c r="K55" s="175">
        <f>+Inputs!D236</f>
        <v>-3030226</v>
      </c>
      <c r="L55" s="175">
        <f t="shared" si="8"/>
        <v>-3090877</v>
      </c>
      <c r="M55" s="798">
        <f>+L55</f>
        <v>-3090877</v>
      </c>
      <c r="N55" s="798"/>
      <c r="O55" s="798"/>
      <c r="P55" s="798"/>
      <c r="Q55" s="812"/>
      <c r="R55" s="388"/>
    </row>
    <row r="56" spans="2:18" ht="13.8">
      <c r="B56" s="251">
        <f t="shared" si="0"/>
        <v>49</v>
      </c>
      <c r="C56" s="793">
        <v>254</v>
      </c>
      <c r="D56" s="794" t="str">
        <f>+'1.5.1b-EDIT Remeasure '!D68</f>
        <v>Regulatory Assets - Unprotected (283)</v>
      </c>
      <c r="E56" s="175">
        <f>'1.5.1b-EDIT Remeasure '!J68</f>
        <v>0</v>
      </c>
      <c r="F56" s="175">
        <f>+Inputs!D237</f>
        <v>0</v>
      </c>
      <c r="G56" s="175">
        <f t="shared" si="7"/>
        <v>0</v>
      </c>
      <c r="H56" s="175">
        <f>G56-K56-J56-I56</f>
        <v>0</v>
      </c>
      <c r="I56" s="798"/>
      <c r="J56" s="798"/>
      <c r="K56" s="175">
        <f>+Inputs!D238</f>
        <v>0</v>
      </c>
      <c r="L56" s="175">
        <f t="shared" si="8"/>
        <v>0</v>
      </c>
      <c r="M56" s="798">
        <f>L56</f>
        <v>0</v>
      </c>
      <c r="N56" s="798"/>
      <c r="O56" s="798"/>
      <c r="P56" s="798"/>
      <c r="Q56" s="812"/>
      <c r="R56" s="388"/>
    </row>
    <row r="57" spans="2:18" ht="13.8">
      <c r="B57" s="251">
        <f t="shared" si="0"/>
        <v>50</v>
      </c>
      <c r="C57" s="793">
        <v>254</v>
      </c>
      <c r="D57" s="794" t="str">
        <f>+'1.5.1b-EDIT Remeasure '!D69</f>
        <v>Non-jurisdictional (SD Gas, NE Gas) - Unprotected (283)</v>
      </c>
      <c r="E57" s="175">
        <f>'1.5.1b-EDIT Remeasure '!J69</f>
        <v>0</v>
      </c>
      <c r="F57" s="175">
        <f>+Inputs!D239</f>
        <v>-237232</v>
      </c>
      <c r="G57" s="175">
        <f t="shared" si="7"/>
        <v>-237232</v>
      </c>
      <c r="H57" s="175">
        <f t="shared" si="9"/>
        <v>-15815</v>
      </c>
      <c r="I57" s="798"/>
      <c r="J57" s="798"/>
      <c r="K57" s="175">
        <f>+Inputs!D240</f>
        <v>-221417</v>
      </c>
      <c r="L57" s="175">
        <f t="shared" si="8"/>
        <v>-229324.5</v>
      </c>
      <c r="M57" s="798">
        <f>L57</f>
        <v>-229324.5</v>
      </c>
      <c r="N57" s="798"/>
      <c r="O57" s="798"/>
      <c r="P57" s="798"/>
      <c r="Q57" s="812"/>
      <c r="R57" s="388"/>
    </row>
    <row r="58" spans="2:18" ht="13.8">
      <c r="B58" s="251">
        <f t="shared" si="0"/>
        <v>51</v>
      </c>
      <c r="C58" s="387"/>
      <c r="D58" s="388"/>
      <c r="E58" s="175">
        <f>'1.5.1b-EDIT Remeasure '!J70</f>
        <v>0</v>
      </c>
      <c r="F58" s="798"/>
      <c r="G58" s="175">
        <f t="shared" si="7"/>
        <v>0</v>
      </c>
      <c r="H58" s="175">
        <f t="shared" si="9"/>
        <v>0</v>
      </c>
      <c r="I58" s="798"/>
      <c r="J58" s="798"/>
      <c r="K58" s="798"/>
      <c r="L58" s="175">
        <f t="shared" si="8"/>
        <v>0</v>
      </c>
      <c r="M58" s="798"/>
      <c r="N58" s="798"/>
      <c r="O58" s="798"/>
      <c r="P58" s="798"/>
      <c r="Q58" s="812"/>
      <c r="R58" s="388"/>
    </row>
    <row r="59" spans="2:18" ht="13.8">
      <c r="B59" s="251">
        <f t="shared" si="0"/>
        <v>52</v>
      </c>
      <c r="C59" s="387"/>
      <c r="D59" s="388"/>
      <c r="E59" s="175">
        <f>'1.5.1b-EDIT Remeasure '!J71</f>
        <v>0</v>
      </c>
      <c r="F59" s="798"/>
      <c r="G59" s="175">
        <f t="shared" si="7"/>
        <v>0</v>
      </c>
      <c r="H59" s="175">
        <f t="shared" si="9"/>
        <v>0</v>
      </c>
      <c r="I59" s="798"/>
      <c r="J59" s="798"/>
      <c r="K59" s="798"/>
      <c r="L59" s="175">
        <f t="shared" si="8"/>
        <v>0</v>
      </c>
      <c r="M59" s="798"/>
      <c r="N59" s="798"/>
      <c r="O59" s="798"/>
      <c r="P59" s="798"/>
      <c r="Q59" s="812"/>
      <c r="R59" s="388"/>
    </row>
    <row r="60" spans="2:18" ht="13.8">
      <c r="B60" s="251">
        <f t="shared" si="0"/>
        <v>53</v>
      </c>
      <c r="C60" s="387"/>
      <c r="D60" s="388"/>
      <c r="E60" s="175">
        <f>'1.5.1b-EDIT Remeasure '!J72</f>
        <v>0</v>
      </c>
      <c r="F60" s="798"/>
      <c r="G60" s="175">
        <f t="shared" si="7"/>
        <v>0</v>
      </c>
      <c r="H60" s="175">
        <f t="shared" si="9"/>
        <v>0</v>
      </c>
      <c r="I60" s="798"/>
      <c r="J60" s="798"/>
      <c r="K60" s="798"/>
      <c r="L60" s="175">
        <f t="shared" si="8"/>
        <v>0</v>
      </c>
      <c r="M60" s="798"/>
      <c r="N60" s="798"/>
      <c r="O60" s="798"/>
      <c r="P60" s="798"/>
      <c r="Q60" s="812"/>
      <c r="R60" s="388"/>
    </row>
    <row r="61" spans="2:18" ht="13.8">
      <c r="B61" s="251">
        <f t="shared" si="0"/>
        <v>54</v>
      </c>
      <c r="C61" s="174"/>
      <c r="D61" s="170"/>
      <c r="E61" s="175"/>
      <c r="F61" s="443"/>
      <c r="G61" s="175"/>
      <c r="H61" s="175"/>
      <c r="I61" s="175"/>
      <c r="J61" s="443"/>
      <c r="K61" s="443"/>
      <c r="L61" s="443"/>
      <c r="M61" s="443"/>
      <c r="N61" s="443"/>
      <c r="O61" s="443"/>
      <c r="P61" s="443"/>
      <c r="Q61" s="443"/>
      <c r="R61" s="170"/>
    </row>
    <row r="62" spans="2:18" ht="13.8">
      <c r="B62" s="251">
        <f t="shared" si="0"/>
        <v>55</v>
      </c>
      <c r="C62" s="174"/>
      <c r="D62" s="176" t="s">
        <v>492</v>
      </c>
      <c r="E62" s="175">
        <f t="shared" ref="E62:P62" si="10">SUM(E54:E60)</f>
        <v>0</v>
      </c>
      <c r="F62" s="175">
        <f t="shared" si="10"/>
        <v>-15460566</v>
      </c>
      <c r="G62" s="175">
        <f t="shared" si="10"/>
        <v>-15460566</v>
      </c>
      <c r="H62" s="175">
        <f t="shared" si="10"/>
        <v>-601960</v>
      </c>
      <c r="I62" s="175">
        <f t="shared" si="10"/>
        <v>0</v>
      </c>
      <c r="J62" s="175">
        <f t="shared" si="10"/>
        <v>0</v>
      </c>
      <c r="K62" s="175">
        <f t="shared" si="10"/>
        <v>-14858606</v>
      </c>
      <c r="L62" s="175">
        <f t="shared" si="10"/>
        <v>-15159586</v>
      </c>
      <c r="M62" s="175">
        <f t="shared" si="10"/>
        <v>-3320201.5</v>
      </c>
      <c r="N62" s="175">
        <f t="shared" si="10"/>
        <v>0</v>
      </c>
      <c r="O62" s="175">
        <f t="shared" si="10"/>
        <v>-11839384.5</v>
      </c>
      <c r="P62" s="175">
        <f t="shared" si="10"/>
        <v>0</v>
      </c>
      <c r="Q62" s="443"/>
      <c r="R62" s="170"/>
    </row>
    <row r="63" spans="2:18" ht="14.4" thickBot="1">
      <c r="B63" s="251">
        <f t="shared" si="0"/>
        <v>56</v>
      </c>
      <c r="C63" s="174"/>
      <c r="D63" s="176" t="s">
        <v>1315</v>
      </c>
      <c r="E63" s="175">
        <f>+E48+E62</f>
        <v>0</v>
      </c>
      <c r="F63" s="175">
        <f>F48+F62</f>
        <v>-28023715</v>
      </c>
      <c r="G63" s="175"/>
      <c r="H63" s="175"/>
      <c r="I63" s="175"/>
      <c r="J63" s="175"/>
      <c r="K63" s="175">
        <f>K48+K62</f>
        <v>-26750640</v>
      </c>
      <c r="L63" s="175">
        <f>L48+L62</f>
        <v>-27387177.5</v>
      </c>
      <c r="M63" s="443"/>
      <c r="N63" s="443"/>
      <c r="O63" s="443"/>
      <c r="P63" s="443"/>
      <c r="Q63" s="443"/>
      <c r="R63" s="170"/>
    </row>
    <row r="64" spans="2:18" ht="28.2" thickBot="1">
      <c r="B64" s="251">
        <f t="shared" si="0"/>
        <v>57</v>
      </c>
      <c r="C64" s="174"/>
      <c r="D64" s="731" t="s">
        <v>1611</v>
      </c>
      <c r="E64" s="175"/>
      <c r="F64" s="511">
        <f>+Inputs!D243</f>
        <v>-28023715</v>
      </c>
      <c r="G64" s="809"/>
      <c r="H64" s="809"/>
      <c r="I64" s="809"/>
      <c r="J64" s="809"/>
      <c r="K64" s="511">
        <f>+Inputs!D244</f>
        <v>-26750640</v>
      </c>
      <c r="L64" s="175"/>
      <c r="M64" s="443"/>
      <c r="N64" s="443"/>
      <c r="O64" s="443"/>
      <c r="P64" s="443"/>
      <c r="Q64" s="443"/>
      <c r="R64" s="395"/>
    </row>
    <row r="65" spans="2:18" ht="13.8">
      <c r="B65" s="251">
        <f t="shared" si="0"/>
        <v>58</v>
      </c>
      <c r="C65" s="174"/>
      <c r="D65" s="176" t="s">
        <v>41</v>
      </c>
      <c r="E65" s="177"/>
      <c r="F65" s="177"/>
      <c r="G65" s="175"/>
      <c r="H65" s="175"/>
      <c r="I65" s="175"/>
      <c r="J65" s="177"/>
      <c r="K65" s="177"/>
      <c r="L65" s="177"/>
      <c r="M65" s="442">
        <f>M15</f>
        <v>0</v>
      </c>
      <c r="N65" s="442">
        <f>N15</f>
        <v>1</v>
      </c>
      <c r="O65" s="442">
        <f>AppendixA!$H$27</f>
        <v>7.4491583404762904E-2</v>
      </c>
      <c r="P65" s="442">
        <f>AppendixA!$H$16</f>
        <v>4.4161101816983732E-2</v>
      </c>
      <c r="Q65" s="170"/>
      <c r="R65" s="170"/>
    </row>
    <row r="66" spans="2:18" ht="13.8">
      <c r="B66" s="251">
        <f t="shared" si="0"/>
        <v>59</v>
      </c>
      <c r="C66" s="168"/>
      <c r="D66" s="176" t="s">
        <v>1308</v>
      </c>
      <c r="E66" s="175"/>
      <c r="F66" s="175"/>
      <c r="G66" s="175"/>
      <c r="H66" s="175"/>
      <c r="I66" s="175"/>
      <c r="J66" s="175"/>
      <c r="K66" s="175"/>
      <c r="L66" s="175"/>
      <c r="M66" s="175">
        <f>M62*M65</f>
        <v>0</v>
      </c>
      <c r="N66" s="175">
        <f>N62*N65</f>
        <v>0</v>
      </c>
      <c r="O66" s="175">
        <f>O62*O65</f>
        <v>-881934.49794280715</v>
      </c>
      <c r="P66" s="175">
        <f>P62*P65</f>
        <v>0</v>
      </c>
      <c r="Q66" s="444">
        <f>SUM(M66:P66)</f>
        <v>-881934.49794280715</v>
      </c>
      <c r="R66" s="170"/>
    </row>
    <row r="67" spans="2:18" ht="14.4" thickBot="1">
      <c r="B67" s="251">
        <f t="shared" si="0"/>
        <v>60</v>
      </c>
      <c r="C67" s="168"/>
      <c r="D67" s="176"/>
      <c r="E67" s="175"/>
      <c r="F67" s="175"/>
      <c r="G67" s="175"/>
      <c r="H67" s="175"/>
      <c r="I67" s="175"/>
      <c r="J67" s="175"/>
      <c r="K67" s="175"/>
      <c r="L67" s="175"/>
      <c r="M67" s="443"/>
      <c r="N67" s="443"/>
      <c r="O67" s="443"/>
      <c r="P67" s="443"/>
      <c r="Q67" s="443"/>
      <c r="R67" s="170"/>
    </row>
    <row r="68" spans="2:18" ht="28.2" thickBot="1">
      <c r="B68" s="251">
        <f t="shared" si="0"/>
        <v>61</v>
      </c>
      <c r="D68" s="731" t="s">
        <v>1506</v>
      </c>
      <c r="E68" s="175"/>
      <c r="F68" s="175"/>
      <c r="G68" s="175"/>
      <c r="H68" s="175"/>
      <c r="I68" s="175"/>
      <c r="J68" s="175"/>
      <c r="K68" s="175"/>
      <c r="L68" s="175"/>
      <c r="M68" s="443"/>
      <c r="N68" s="443"/>
      <c r="O68" s="443"/>
      <c r="P68" s="443"/>
      <c r="Q68" s="811">
        <f>+Q50+Q66</f>
        <v>-1843789.2651683744</v>
      </c>
      <c r="R68" s="170" t="s">
        <v>1311</v>
      </c>
    </row>
    <row r="69" spans="2:18" ht="13.8">
      <c r="B69" s="251">
        <f t="shared" si="0"/>
        <v>62</v>
      </c>
      <c r="D69" s="731"/>
      <c r="E69" s="175"/>
      <c r="F69" s="175"/>
      <c r="G69" s="175"/>
      <c r="H69" s="175"/>
      <c r="I69" s="175"/>
      <c r="J69" s="175"/>
      <c r="K69" s="175"/>
      <c r="L69" s="175"/>
      <c r="M69" s="443"/>
      <c r="N69" s="443"/>
      <c r="O69" s="443"/>
      <c r="P69" s="443"/>
      <c r="Q69" s="443"/>
      <c r="R69" s="170"/>
    </row>
    <row r="70" spans="2:18" ht="15" customHeight="1">
      <c r="B70" s="251">
        <f t="shared" si="0"/>
        <v>63</v>
      </c>
      <c r="C70" s="962" t="s">
        <v>1438</v>
      </c>
      <c r="D70" s="962"/>
      <c r="E70" s="962"/>
      <c r="F70" s="962"/>
      <c r="G70" s="962"/>
      <c r="H70" s="962"/>
      <c r="I70" s="962"/>
      <c r="J70" s="175"/>
      <c r="K70" s="175"/>
      <c r="L70" s="175"/>
      <c r="M70" s="443"/>
      <c r="N70" s="443"/>
      <c r="O70" s="443"/>
      <c r="P70" s="443"/>
      <c r="Q70" s="443"/>
      <c r="R70" s="170"/>
    </row>
    <row r="71" spans="2:18" ht="13.8">
      <c r="B71" s="251">
        <f t="shared" si="0"/>
        <v>64</v>
      </c>
      <c r="D71" s="731"/>
      <c r="E71" s="175"/>
      <c r="F71" s="175"/>
      <c r="G71" s="175"/>
      <c r="H71" s="175"/>
      <c r="I71" s="175"/>
      <c r="J71" s="175"/>
      <c r="K71" s="175"/>
      <c r="L71" s="175"/>
      <c r="M71" s="443"/>
      <c r="N71" s="443"/>
      <c r="O71" s="443"/>
      <c r="P71" s="443"/>
      <c r="Q71" s="443"/>
      <c r="R71" s="170"/>
    </row>
    <row r="72" spans="2:18" ht="15" customHeight="1">
      <c r="B72" s="251">
        <f t="shared" si="0"/>
        <v>65</v>
      </c>
      <c r="C72" s="962" t="s">
        <v>1771</v>
      </c>
      <c r="D72" s="962"/>
      <c r="E72" s="962"/>
      <c r="F72" s="962"/>
      <c r="G72" s="962"/>
      <c r="H72" s="962"/>
      <c r="I72" s="962"/>
      <c r="J72" s="175"/>
      <c r="K72" s="175"/>
      <c r="L72" s="175"/>
      <c r="M72" s="443"/>
      <c r="N72" s="443"/>
      <c r="O72" s="443"/>
      <c r="P72" s="443"/>
      <c r="Q72" s="443"/>
      <c r="R72" s="170"/>
    </row>
    <row r="73" spans="2:18" ht="13.8">
      <c r="B73" s="251">
        <f t="shared" si="0"/>
        <v>66</v>
      </c>
      <c r="D73" s="731"/>
      <c r="E73" s="175"/>
      <c r="F73" s="175"/>
      <c r="G73" s="175"/>
      <c r="H73" s="175"/>
      <c r="I73" s="175"/>
      <c r="J73" s="175"/>
      <c r="K73" s="175"/>
      <c r="L73" s="175"/>
      <c r="M73" s="443"/>
      <c r="N73" s="443"/>
      <c r="O73" s="443"/>
      <c r="P73" s="443"/>
      <c r="Q73" s="443"/>
      <c r="R73" s="170"/>
    </row>
    <row r="74" spans="2:18" ht="15" customHeight="1">
      <c r="B74" s="251">
        <f>B73+1</f>
        <v>67</v>
      </c>
      <c r="C74" s="962" t="s">
        <v>1437</v>
      </c>
      <c r="D74" s="962"/>
      <c r="E74" s="962"/>
      <c r="F74" s="962"/>
      <c r="G74" s="962"/>
      <c r="H74" s="962"/>
      <c r="I74" s="962"/>
      <c r="J74" s="175"/>
      <c r="K74" s="175"/>
      <c r="L74" s="175"/>
      <c r="M74" s="443"/>
      <c r="N74" s="443"/>
      <c r="O74" s="443"/>
      <c r="P74" s="443"/>
      <c r="Q74" s="443"/>
      <c r="R74" s="170"/>
    </row>
    <row r="75" spans="2:18" ht="13.8">
      <c r="B75" s="251">
        <f t="shared" ref="B75" si="11">B74+1</f>
        <v>68</v>
      </c>
      <c r="C75" s="732"/>
      <c r="D75" s="732"/>
      <c r="E75" s="732"/>
      <c r="F75" s="732"/>
      <c r="G75" s="732"/>
      <c r="H75" s="732"/>
      <c r="I75" s="732"/>
      <c r="J75" s="175"/>
      <c r="K75" s="175"/>
      <c r="L75" s="175"/>
      <c r="M75" s="443"/>
      <c r="N75" s="443"/>
      <c r="O75" s="443"/>
      <c r="P75" s="443"/>
      <c r="Q75" s="443"/>
      <c r="R75" s="170"/>
    </row>
    <row r="76" spans="2:18" ht="15" customHeight="1">
      <c r="B76" s="251">
        <f>B75+1</f>
        <v>69</v>
      </c>
      <c r="C76" s="962" t="s">
        <v>1439</v>
      </c>
      <c r="D76" s="962"/>
      <c r="E76" s="962"/>
      <c r="F76" s="962"/>
      <c r="G76" s="962"/>
      <c r="H76" s="962"/>
      <c r="I76" s="962"/>
      <c r="J76" s="175"/>
      <c r="K76" s="175"/>
      <c r="L76" s="175"/>
      <c r="M76" s="443"/>
      <c r="N76" s="443"/>
      <c r="O76" s="443"/>
      <c r="P76" s="443"/>
      <c r="Q76" s="443"/>
      <c r="R76" s="170"/>
    </row>
    <row r="77" spans="2:18" ht="13.8">
      <c r="B77" s="251">
        <f>B76+1</f>
        <v>70</v>
      </c>
      <c r="C77" s="732"/>
      <c r="D77" s="732"/>
      <c r="E77" s="732"/>
      <c r="F77" s="732"/>
      <c r="G77" s="732"/>
      <c r="H77" s="732"/>
      <c r="I77" s="732"/>
      <c r="J77" s="175"/>
      <c r="K77" s="175"/>
      <c r="L77" s="175"/>
      <c r="M77" s="443"/>
      <c r="N77" s="443"/>
      <c r="O77" s="443"/>
      <c r="P77" s="443"/>
      <c r="Q77" s="443"/>
      <c r="R77" s="170"/>
    </row>
    <row r="78" spans="2:18" ht="13.8">
      <c r="B78" s="251">
        <f>B77+1</f>
        <v>71</v>
      </c>
      <c r="C78" s="962" t="s">
        <v>1440</v>
      </c>
      <c r="D78" s="962"/>
      <c r="E78" s="962"/>
      <c r="F78" s="962"/>
      <c r="G78" s="962"/>
      <c r="H78" s="962"/>
      <c r="I78" s="962"/>
      <c r="J78" s="175"/>
      <c r="K78" s="175"/>
      <c r="L78" s="175"/>
      <c r="M78" s="443"/>
      <c r="N78" s="443"/>
      <c r="O78" s="443"/>
      <c r="P78" s="443"/>
      <c r="Q78" s="443"/>
      <c r="R78" s="170"/>
    </row>
    <row r="79" spans="2:18" ht="13.8">
      <c r="B79" s="251"/>
      <c r="D79" s="731"/>
      <c r="E79" s="175"/>
      <c r="F79" s="175"/>
      <c r="G79" s="175"/>
      <c r="H79" s="175"/>
      <c r="I79" s="175"/>
      <c r="J79" s="175"/>
      <c r="K79" s="175"/>
      <c r="L79" s="175"/>
      <c r="M79" s="443"/>
      <c r="N79" s="443"/>
      <c r="O79" s="443"/>
      <c r="P79" s="443"/>
      <c r="Q79" s="443"/>
      <c r="R79" s="170"/>
    </row>
    <row r="80" spans="2:18" ht="13.8">
      <c r="B80" s="953" t="s">
        <v>1316</v>
      </c>
      <c r="C80" s="953"/>
      <c r="D80" s="953"/>
      <c r="E80" s="953"/>
      <c r="F80" s="953"/>
      <c r="G80" s="953"/>
      <c r="H80" s="953"/>
      <c r="I80" s="953"/>
      <c r="J80" s="953"/>
      <c r="K80" s="953"/>
      <c r="L80" s="953"/>
      <c r="M80" s="953"/>
      <c r="N80" s="953"/>
      <c r="O80" s="953"/>
      <c r="P80" s="953"/>
      <c r="Q80" s="953"/>
      <c r="R80" s="953"/>
    </row>
    <row r="81" spans="2:18" ht="13.8">
      <c r="B81" s="943" t="s">
        <v>504</v>
      </c>
      <c r="C81" s="943"/>
      <c r="D81" s="943"/>
      <c r="E81" s="943"/>
      <c r="F81" s="943"/>
      <c r="G81" s="943"/>
      <c r="H81" s="943"/>
      <c r="I81" s="943"/>
      <c r="J81" s="943"/>
      <c r="K81" s="943"/>
      <c r="L81" s="943"/>
      <c r="M81" s="943"/>
      <c r="N81" s="943"/>
      <c r="O81" s="943"/>
      <c r="P81" s="943"/>
      <c r="Q81" s="943"/>
      <c r="R81" s="943"/>
    </row>
  </sheetData>
  <mergeCells count="23">
    <mergeCell ref="B81:R81"/>
    <mergeCell ref="C70:I70"/>
    <mergeCell ref="C72:I72"/>
    <mergeCell ref="C74:I74"/>
    <mergeCell ref="C76:I76"/>
    <mergeCell ref="C78:I78"/>
    <mergeCell ref="B80:R80"/>
    <mergeCell ref="R5:R7"/>
    <mergeCell ref="B1:R1"/>
    <mergeCell ref="B2:R2"/>
    <mergeCell ref="E5:E7"/>
    <mergeCell ref="F5:F7"/>
    <mergeCell ref="G5:G7"/>
    <mergeCell ref="H5:H7"/>
    <mergeCell ref="I5:I7"/>
    <mergeCell ref="J5:J7"/>
    <mergeCell ref="K5:K7"/>
    <mergeCell ref="L5:L7"/>
    <mergeCell ref="M5:M7"/>
    <mergeCell ref="N5:N7"/>
    <mergeCell ref="O5:O7"/>
    <mergeCell ref="P5:P7"/>
    <mergeCell ref="Q5:Q7"/>
  </mergeCells>
  <printOptions horizontalCentered="1"/>
  <pageMargins left="0.7" right="0.7" top="0.75" bottom="0.75" header="0.3" footer="0.3"/>
  <pageSetup scale="38" orientation="landscape" r:id="rId1"/>
  <headerFooter>
    <oddHeader>&amp;C&amp;"Arial,Bold"ADDENDUM 27 TO ATTACHMENT H, Page &amp;P of &amp;N
NorthWestern Corporation (South Dakota)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0"/>
  <sheetViews>
    <sheetView zoomScale="70" zoomScaleNormal="70" workbookViewId="0">
      <selection sqref="A1:K1"/>
    </sheetView>
  </sheetViews>
  <sheetFormatPr defaultRowHeight="13.2"/>
  <cols>
    <col min="1" max="1" width="2" style="791" customWidth="1"/>
    <col min="2" max="2" width="5.6640625" style="791" customWidth="1"/>
    <col min="3" max="3" width="8.33203125" style="804" customWidth="1"/>
    <col min="4" max="4" width="51.33203125" style="791" customWidth="1"/>
    <col min="5" max="10" width="19.5546875" style="791" customWidth="1"/>
    <col min="11" max="11" width="40.5546875" style="791" customWidth="1"/>
    <col min="12" max="256" width="9.109375" style="791"/>
    <col min="257" max="257" width="2" style="791" customWidth="1"/>
    <col min="258" max="258" width="5.6640625" style="791" customWidth="1"/>
    <col min="259" max="259" width="8.33203125" style="791" customWidth="1"/>
    <col min="260" max="260" width="51.33203125" style="791" customWidth="1"/>
    <col min="261" max="266" width="19.5546875" style="791" customWidth="1"/>
    <col min="267" max="267" width="50.5546875" style="791" customWidth="1"/>
    <col min="268" max="512" width="9.109375" style="791"/>
    <col min="513" max="513" width="2" style="791" customWidth="1"/>
    <col min="514" max="514" width="5.6640625" style="791" customWidth="1"/>
    <col min="515" max="515" width="8.33203125" style="791" customWidth="1"/>
    <col min="516" max="516" width="51.33203125" style="791" customWidth="1"/>
    <col min="517" max="522" width="19.5546875" style="791" customWidth="1"/>
    <col min="523" max="523" width="50.5546875" style="791" customWidth="1"/>
    <col min="524" max="768" width="9.109375" style="791"/>
    <col min="769" max="769" width="2" style="791" customWidth="1"/>
    <col min="770" max="770" width="5.6640625" style="791" customWidth="1"/>
    <col min="771" max="771" width="8.33203125" style="791" customWidth="1"/>
    <col min="772" max="772" width="51.33203125" style="791" customWidth="1"/>
    <col min="773" max="778" width="19.5546875" style="791" customWidth="1"/>
    <col min="779" max="779" width="50.5546875" style="791" customWidth="1"/>
    <col min="780" max="1024" width="9.109375" style="791"/>
    <col min="1025" max="1025" width="2" style="791" customWidth="1"/>
    <col min="1026" max="1026" width="5.6640625" style="791" customWidth="1"/>
    <col min="1027" max="1027" width="8.33203125" style="791" customWidth="1"/>
    <col min="1028" max="1028" width="51.33203125" style="791" customWidth="1"/>
    <col min="1029" max="1034" width="19.5546875" style="791" customWidth="1"/>
    <col min="1035" max="1035" width="50.5546875" style="791" customWidth="1"/>
    <col min="1036" max="1280" width="9.109375" style="791"/>
    <col min="1281" max="1281" width="2" style="791" customWidth="1"/>
    <col min="1282" max="1282" width="5.6640625" style="791" customWidth="1"/>
    <col min="1283" max="1283" width="8.33203125" style="791" customWidth="1"/>
    <col min="1284" max="1284" width="51.33203125" style="791" customWidth="1"/>
    <col min="1285" max="1290" width="19.5546875" style="791" customWidth="1"/>
    <col min="1291" max="1291" width="50.5546875" style="791" customWidth="1"/>
    <col min="1292" max="1536" width="9.109375" style="791"/>
    <col min="1537" max="1537" width="2" style="791" customWidth="1"/>
    <col min="1538" max="1538" width="5.6640625" style="791" customWidth="1"/>
    <col min="1539" max="1539" width="8.33203125" style="791" customWidth="1"/>
    <col min="1540" max="1540" width="51.33203125" style="791" customWidth="1"/>
    <col min="1541" max="1546" width="19.5546875" style="791" customWidth="1"/>
    <col min="1547" max="1547" width="50.5546875" style="791" customWidth="1"/>
    <col min="1548" max="1792" width="9.109375" style="791"/>
    <col min="1793" max="1793" width="2" style="791" customWidth="1"/>
    <col min="1794" max="1794" width="5.6640625" style="791" customWidth="1"/>
    <col min="1795" max="1795" width="8.33203125" style="791" customWidth="1"/>
    <col min="1796" max="1796" width="51.33203125" style="791" customWidth="1"/>
    <col min="1797" max="1802" width="19.5546875" style="791" customWidth="1"/>
    <col min="1803" max="1803" width="50.5546875" style="791" customWidth="1"/>
    <col min="1804" max="2048" width="9.109375" style="791"/>
    <col min="2049" max="2049" width="2" style="791" customWidth="1"/>
    <col min="2050" max="2050" width="5.6640625" style="791" customWidth="1"/>
    <col min="2051" max="2051" width="8.33203125" style="791" customWidth="1"/>
    <col min="2052" max="2052" width="51.33203125" style="791" customWidth="1"/>
    <col min="2053" max="2058" width="19.5546875" style="791" customWidth="1"/>
    <col min="2059" max="2059" width="50.5546875" style="791" customWidth="1"/>
    <col min="2060" max="2304" width="9.109375" style="791"/>
    <col min="2305" max="2305" width="2" style="791" customWidth="1"/>
    <col min="2306" max="2306" width="5.6640625" style="791" customWidth="1"/>
    <col min="2307" max="2307" width="8.33203125" style="791" customWidth="1"/>
    <col min="2308" max="2308" width="51.33203125" style="791" customWidth="1"/>
    <col min="2309" max="2314" width="19.5546875" style="791" customWidth="1"/>
    <col min="2315" max="2315" width="50.5546875" style="791" customWidth="1"/>
    <col min="2316" max="2560" width="9.109375" style="791"/>
    <col min="2561" max="2561" width="2" style="791" customWidth="1"/>
    <col min="2562" max="2562" width="5.6640625" style="791" customWidth="1"/>
    <col min="2563" max="2563" width="8.33203125" style="791" customWidth="1"/>
    <col min="2564" max="2564" width="51.33203125" style="791" customWidth="1"/>
    <col min="2565" max="2570" width="19.5546875" style="791" customWidth="1"/>
    <col min="2571" max="2571" width="50.5546875" style="791" customWidth="1"/>
    <col min="2572" max="2816" width="9.109375" style="791"/>
    <col min="2817" max="2817" width="2" style="791" customWidth="1"/>
    <col min="2818" max="2818" width="5.6640625" style="791" customWidth="1"/>
    <col min="2819" max="2819" width="8.33203125" style="791" customWidth="1"/>
    <col min="2820" max="2820" width="51.33203125" style="791" customWidth="1"/>
    <col min="2821" max="2826" width="19.5546875" style="791" customWidth="1"/>
    <col min="2827" max="2827" width="50.5546875" style="791" customWidth="1"/>
    <col min="2828" max="3072" width="9.109375" style="791"/>
    <col min="3073" max="3073" width="2" style="791" customWidth="1"/>
    <col min="3074" max="3074" width="5.6640625" style="791" customWidth="1"/>
    <col min="3075" max="3075" width="8.33203125" style="791" customWidth="1"/>
    <col min="3076" max="3076" width="51.33203125" style="791" customWidth="1"/>
    <col min="3077" max="3082" width="19.5546875" style="791" customWidth="1"/>
    <col min="3083" max="3083" width="50.5546875" style="791" customWidth="1"/>
    <col min="3084" max="3328" width="9.109375" style="791"/>
    <col min="3329" max="3329" width="2" style="791" customWidth="1"/>
    <col min="3330" max="3330" width="5.6640625" style="791" customWidth="1"/>
    <col min="3331" max="3331" width="8.33203125" style="791" customWidth="1"/>
    <col min="3332" max="3332" width="51.33203125" style="791" customWidth="1"/>
    <col min="3333" max="3338" width="19.5546875" style="791" customWidth="1"/>
    <col min="3339" max="3339" width="50.5546875" style="791" customWidth="1"/>
    <col min="3340" max="3584" width="9.109375" style="791"/>
    <col min="3585" max="3585" width="2" style="791" customWidth="1"/>
    <col min="3586" max="3586" width="5.6640625" style="791" customWidth="1"/>
    <col min="3587" max="3587" width="8.33203125" style="791" customWidth="1"/>
    <col min="3588" max="3588" width="51.33203125" style="791" customWidth="1"/>
    <col min="3589" max="3594" width="19.5546875" style="791" customWidth="1"/>
    <col min="3595" max="3595" width="50.5546875" style="791" customWidth="1"/>
    <col min="3596" max="3840" width="9.109375" style="791"/>
    <col min="3841" max="3841" width="2" style="791" customWidth="1"/>
    <col min="3842" max="3842" width="5.6640625" style="791" customWidth="1"/>
    <col min="3843" max="3843" width="8.33203125" style="791" customWidth="1"/>
    <col min="3844" max="3844" width="51.33203125" style="791" customWidth="1"/>
    <col min="3845" max="3850" width="19.5546875" style="791" customWidth="1"/>
    <col min="3851" max="3851" width="50.5546875" style="791" customWidth="1"/>
    <col min="3852" max="4096" width="9.109375" style="791"/>
    <col min="4097" max="4097" width="2" style="791" customWidth="1"/>
    <col min="4098" max="4098" width="5.6640625" style="791" customWidth="1"/>
    <col min="4099" max="4099" width="8.33203125" style="791" customWidth="1"/>
    <col min="4100" max="4100" width="51.33203125" style="791" customWidth="1"/>
    <col min="4101" max="4106" width="19.5546875" style="791" customWidth="1"/>
    <col min="4107" max="4107" width="50.5546875" style="791" customWidth="1"/>
    <col min="4108" max="4352" width="9.109375" style="791"/>
    <col min="4353" max="4353" width="2" style="791" customWidth="1"/>
    <col min="4354" max="4354" width="5.6640625" style="791" customWidth="1"/>
    <col min="4355" max="4355" width="8.33203125" style="791" customWidth="1"/>
    <col min="4356" max="4356" width="51.33203125" style="791" customWidth="1"/>
    <col min="4357" max="4362" width="19.5546875" style="791" customWidth="1"/>
    <col min="4363" max="4363" width="50.5546875" style="791" customWidth="1"/>
    <col min="4364" max="4608" width="9.109375" style="791"/>
    <col min="4609" max="4609" width="2" style="791" customWidth="1"/>
    <col min="4610" max="4610" width="5.6640625" style="791" customWidth="1"/>
    <col min="4611" max="4611" width="8.33203125" style="791" customWidth="1"/>
    <col min="4612" max="4612" width="51.33203125" style="791" customWidth="1"/>
    <col min="4613" max="4618" width="19.5546875" style="791" customWidth="1"/>
    <col min="4619" max="4619" width="50.5546875" style="791" customWidth="1"/>
    <col min="4620" max="4864" width="9.109375" style="791"/>
    <col min="4865" max="4865" width="2" style="791" customWidth="1"/>
    <col min="4866" max="4866" width="5.6640625" style="791" customWidth="1"/>
    <col min="4867" max="4867" width="8.33203125" style="791" customWidth="1"/>
    <col min="4868" max="4868" width="51.33203125" style="791" customWidth="1"/>
    <col min="4869" max="4874" width="19.5546875" style="791" customWidth="1"/>
    <col min="4875" max="4875" width="50.5546875" style="791" customWidth="1"/>
    <col min="4876" max="5120" width="9.109375" style="791"/>
    <col min="5121" max="5121" width="2" style="791" customWidth="1"/>
    <col min="5122" max="5122" width="5.6640625" style="791" customWidth="1"/>
    <col min="5123" max="5123" width="8.33203125" style="791" customWidth="1"/>
    <col min="5124" max="5124" width="51.33203125" style="791" customWidth="1"/>
    <col min="5125" max="5130" width="19.5546875" style="791" customWidth="1"/>
    <col min="5131" max="5131" width="50.5546875" style="791" customWidth="1"/>
    <col min="5132" max="5376" width="9.109375" style="791"/>
    <col min="5377" max="5377" width="2" style="791" customWidth="1"/>
    <col min="5378" max="5378" width="5.6640625" style="791" customWidth="1"/>
    <col min="5379" max="5379" width="8.33203125" style="791" customWidth="1"/>
    <col min="5380" max="5380" width="51.33203125" style="791" customWidth="1"/>
    <col min="5381" max="5386" width="19.5546875" style="791" customWidth="1"/>
    <col min="5387" max="5387" width="50.5546875" style="791" customWidth="1"/>
    <col min="5388" max="5632" width="9.109375" style="791"/>
    <col min="5633" max="5633" width="2" style="791" customWidth="1"/>
    <col min="5634" max="5634" width="5.6640625" style="791" customWidth="1"/>
    <col min="5635" max="5635" width="8.33203125" style="791" customWidth="1"/>
    <col min="5636" max="5636" width="51.33203125" style="791" customWidth="1"/>
    <col min="5637" max="5642" width="19.5546875" style="791" customWidth="1"/>
    <col min="5643" max="5643" width="50.5546875" style="791" customWidth="1"/>
    <col min="5644" max="5888" width="9.109375" style="791"/>
    <col min="5889" max="5889" width="2" style="791" customWidth="1"/>
    <col min="5890" max="5890" width="5.6640625" style="791" customWidth="1"/>
    <col min="5891" max="5891" width="8.33203125" style="791" customWidth="1"/>
    <col min="5892" max="5892" width="51.33203125" style="791" customWidth="1"/>
    <col min="5893" max="5898" width="19.5546875" style="791" customWidth="1"/>
    <col min="5899" max="5899" width="50.5546875" style="791" customWidth="1"/>
    <col min="5900" max="6144" width="9.109375" style="791"/>
    <col min="6145" max="6145" width="2" style="791" customWidth="1"/>
    <col min="6146" max="6146" width="5.6640625" style="791" customWidth="1"/>
    <col min="6147" max="6147" width="8.33203125" style="791" customWidth="1"/>
    <col min="6148" max="6148" width="51.33203125" style="791" customWidth="1"/>
    <col min="6149" max="6154" width="19.5546875" style="791" customWidth="1"/>
    <col min="6155" max="6155" width="50.5546875" style="791" customWidth="1"/>
    <col min="6156" max="6400" width="9.109375" style="791"/>
    <col min="6401" max="6401" width="2" style="791" customWidth="1"/>
    <col min="6402" max="6402" width="5.6640625" style="791" customWidth="1"/>
    <col min="6403" max="6403" width="8.33203125" style="791" customWidth="1"/>
    <col min="6404" max="6404" width="51.33203125" style="791" customWidth="1"/>
    <col min="6405" max="6410" width="19.5546875" style="791" customWidth="1"/>
    <col min="6411" max="6411" width="50.5546875" style="791" customWidth="1"/>
    <col min="6412" max="6656" width="9.109375" style="791"/>
    <col min="6657" max="6657" width="2" style="791" customWidth="1"/>
    <col min="6658" max="6658" width="5.6640625" style="791" customWidth="1"/>
    <col min="6659" max="6659" width="8.33203125" style="791" customWidth="1"/>
    <col min="6660" max="6660" width="51.33203125" style="791" customWidth="1"/>
    <col min="6661" max="6666" width="19.5546875" style="791" customWidth="1"/>
    <col min="6667" max="6667" width="50.5546875" style="791" customWidth="1"/>
    <col min="6668" max="6912" width="9.109375" style="791"/>
    <col min="6913" max="6913" width="2" style="791" customWidth="1"/>
    <col min="6914" max="6914" width="5.6640625" style="791" customWidth="1"/>
    <col min="6915" max="6915" width="8.33203125" style="791" customWidth="1"/>
    <col min="6916" max="6916" width="51.33203125" style="791" customWidth="1"/>
    <col min="6917" max="6922" width="19.5546875" style="791" customWidth="1"/>
    <col min="6923" max="6923" width="50.5546875" style="791" customWidth="1"/>
    <col min="6924" max="7168" width="9.109375" style="791"/>
    <col min="7169" max="7169" width="2" style="791" customWidth="1"/>
    <col min="7170" max="7170" width="5.6640625" style="791" customWidth="1"/>
    <col min="7171" max="7171" width="8.33203125" style="791" customWidth="1"/>
    <col min="7172" max="7172" width="51.33203125" style="791" customWidth="1"/>
    <col min="7173" max="7178" width="19.5546875" style="791" customWidth="1"/>
    <col min="7179" max="7179" width="50.5546875" style="791" customWidth="1"/>
    <col min="7180" max="7424" width="9.109375" style="791"/>
    <col min="7425" max="7425" width="2" style="791" customWidth="1"/>
    <col min="7426" max="7426" width="5.6640625" style="791" customWidth="1"/>
    <col min="7427" max="7427" width="8.33203125" style="791" customWidth="1"/>
    <col min="7428" max="7428" width="51.33203125" style="791" customWidth="1"/>
    <col min="7429" max="7434" width="19.5546875" style="791" customWidth="1"/>
    <col min="7435" max="7435" width="50.5546875" style="791" customWidth="1"/>
    <col min="7436" max="7680" width="9.109375" style="791"/>
    <col min="7681" max="7681" width="2" style="791" customWidth="1"/>
    <col min="7682" max="7682" width="5.6640625" style="791" customWidth="1"/>
    <col min="7683" max="7683" width="8.33203125" style="791" customWidth="1"/>
    <col min="7684" max="7684" width="51.33203125" style="791" customWidth="1"/>
    <col min="7685" max="7690" width="19.5546875" style="791" customWidth="1"/>
    <col min="7691" max="7691" width="50.5546875" style="791" customWidth="1"/>
    <col min="7692" max="7936" width="9.109375" style="791"/>
    <col min="7937" max="7937" width="2" style="791" customWidth="1"/>
    <col min="7938" max="7938" width="5.6640625" style="791" customWidth="1"/>
    <col min="7939" max="7939" width="8.33203125" style="791" customWidth="1"/>
    <col min="7940" max="7940" width="51.33203125" style="791" customWidth="1"/>
    <col min="7941" max="7946" width="19.5546875" style="791" customWidth="1"/>
    <col min="7947" max="7947" width="50.5546875" style="791" customWidth="1"/>
    <col min="7948" max="8192" width="9.109375" style="791"/>
    <col min="8193" max="8193" width="2" style="791" customWidth="1"/>
    <col min="8194" max="8194" width="5.6640625" style="791" customWidth="1"/>
    <col min="8195" max="8195" width="8.33203125" style="791" customWidth="1"/>
    <col min="8196" max="8196" width="51.33203125" style="791" customWidth="1"/>
    <col min="8197" max="8202" width="19.5546875" style="791" customWidth="1"/>
    <col min="8203" max="8203" width="50.5546875" style="791" customWidth="1"/>
    <col min="8204" max="8448" width="9.109375" style="791"/>
    <col min="8449" max="8449" width="2" style="791" customWidth="1"/>
    <col min="8450" max="8450" width="5.6640625" style="791" customWidth="1"/>
    <col min="8451" max="8451" width="8.33203125" style="791" customWidth="1"/>
    <col min="8452" max="8452" width="51.33203125" style="791" customWidth="1"/>
    <col min="8453" max="8458" width="19.5546875" style="791" customWidth="1"/>
    <col min="8459" max="8459" width="50.5546875" style="791" customWidth="1"/>
    <col min="8460" max="8704" width="9.109375" style="791"/>
    <col min="8705" max="8705" width="2" style="791" customWidth="1"/>
    <col min="8706" max="8706" width="5.6640625" style="791" customWidth="1"/>
    <col min="8707" max="8707" width="8.33203125" style="791" customWidth="1"/>
    <col min="8708" max="8708" width="51.33203125" style="791" customWidth="1"/>
    <col min="8709" max="8714" width="19.5546875" style="791" customWidth="1"/>
    <col min="8715" max="8715" width="50.5546875" style="791" customWidth="1"/>
    <col min="8716" max="8960" width="9.109375" style="791"/>
    <col min="8961" max="8961" width="2" style="791" customWidth="1"/>
    <col min="8962" max="8962" width="5.6640625" style="791" customWidth="1"/>
    <col min="8963" max="8963" width="8.33203125" style="791" customWidth="1"/>
    <col min="8964" max="8964" width="51.33203125" style="791" customWidth="1"/>
    <col min="8965" max="8970" width="19.5546875" style="791" customWidth="1"/>
    <col min="8971" max="8971" width="50.5546875" style="791" customWidth="1"/>
    <col min="8972" max="9216" width="9.109375" style="791"/>
    <col min="9217" max="9217" width="2" style="791" customWidth="1"/>
    <col min="9218" max="9218" width="5.6640625" style="791" customWidth="1"/>
    <col min="9219" max="9219" width="8.33203125" style="791" customWidth="1"/>
    <col min="9220" max="9220" width="51.33203125" style="791" customWidth="1"/>
    <col min="9221" max="9226" width="19.5546875" style="791" customWidth="1"/>
    <col min="9227" max="9227" width="50.5546875" style="791" customWidth="1"/>
    <col min="9228" max="9472" width="9.109375" style="791"/>
    <col min="9473" max="9473" width="2" style="791" customWidth="1"/>
    <col min="9474" max="9474" width="5.6640625" style="791" customWidth="1"/>
    <col min="9475" max="9475" width="8.33203125" style="791" customWidth="1"/>
    <col min="9476" max="9476" width="51.33203125" style="791" customWidth="1"/>
    <col min="9477" max="9482" width="19.5546875" style="791" customWidth="1"/>
    <col min="9483" max="9483" width="50.5546875" style="791" customWidth="1"/>
    <col min="9484" max="9728" width="9.109375" style="791"/>
    <col min="9729" max="9729" width="2" style="791" customWidth="1"/>
    <col min="9730" max="9730" width="5.6640625" style="791" customWidth="1"/>
    <col min="9731" max="9731" width="8.33203125" style="791" customWidth="1"/>
    <col min="9732" max="9732" width="51.33203125" style="791" customWidth="1"/>
    <col min="9733" max="9738" width="19.5546875" style="791" customWidth="1"/>
    <col min="9739" max="9739" width="50.5546875" style="791" customWidth="1"/>
    <col min="9740" max="9984" width="9.109375" style="791"/>
    <col min="9985" max="9985" width="2" style="791" customWidth="1"/>
    <col min="9986" max="9986" width="5.6640625" style="791" customWidth="1"/>
    <col min="9987" max="9987" width="8.33203125" style="791" customWidth="1"/>
    <col min="9988" max="9988" width="51.33203125" style="791" customWidth="1"/>
    <col min="9989" max="9994" width="19.5546875" style="791" customWidth="1"/>
    <col min="9995" max="9995" width="50.5546875" style="791" customWidth="1"/>
    <col min="9996" max="10240" width="9.109375" style="791"/>
    <col min="10241" max="10241" width="2" style="791" customWidth="1"/>
    <col min="10242" max="10242" width="5.6640625" style="791" customWidth="1"/>
    <col min="10243" max="10243" width="8.33203125" style="791" customWidth="1"/>
    <col min="10244" max="10244" width="51.33203125" style="791" customWidth="1"/>
    <col min="10245" max="10250" width="19.5546875" style="791" customWidth="1"/>
    <col min="10251" max="10251" width="50.5546875" style="791" customWidth="1"/>
    <col min="10252"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6" width="19.5546875" style="791" customWidth="1"/>
    <col min="10507" max="10507" width="50.5546875" style="791" customWidth="1"/>
    <col min="10508" max="10752" width="9.109375" style="791"/>
    <col min="10753" max="10753" width="2" style="791" customWidth="1"/>
    <col min="10754" max="10754" width="5.6640625" style="791" customWidth="1"/>
    <col min="10755" max="10755" width="8.33203125" style="791" customWidth="1"/>
    <col min="10756" max="10756" width="51.33203125" style="791" customWidth="1"/>
    <col min="10757" max="10762" width="19.5546875" style="791" customWidth="1"/>
    <col min="10763" max="10763" width="50.5546875" style="791" customWidth="1"/>
    <col min="10764"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8" width="19.5546875" style="791" customWidth="1"/>
    <col min="11019" max="11019" width="50.5546875" style="791" customWidth="1"/>
    <col min="11020" max="11264" width="9.109375" style="791"/>
    <col min="11265" max="11265" width="2" style="791" customWidth="1"/>
    <col min="11266" max="11266" width="5.6640625" style="791" customWidth="1"/>
    <col min="11267" max="11267" width="8.33203125" style="791" customWidth="1"/>
    <col min="11268" max="11268" width="51.33203125" style="791" customWidth="1"/>
    <col min="11269" max="11274" width="19.5546875" style="791" customWidth="1"/>
    <col min="11275" max="11275" width="50.5546875" style="791" customWidth="1"/>
    <col min="11276" max="11520" width="9.109375" style="791"/>
    <col min="11521" max="11521" width="2" style="791" customWidth="1"/>
    <col min="11522" max="11522" width="5.6640625" style="791" customWidth="1"/>
    <col min="11523" max="11523" width="8.33203125" style="791" customWidth="1"/>
    <col min="11524" max="11524" width="51.33203125" style="791" customWidth="1"/>
    <col min="11525" max="11530" width="19.5546875" style="791" customWidth="1"/>
    <col min="11531" max="11531" width="50.5546875" style="791" customWidth="1"/>
    <col min="11532"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6" width="19.5546875" style="791" customWidth="1"/>
    <col min="11787" max="11787" width="50.5546875" style="791" customWidth="1"/>
    <col min="11788" max="12032" width="9.109375" style="791"/>
    <col min="12033" max="12033" width="2" style="791" customWidth="1"/>
    <col min="12034" max="12034" width="5.6640625" style="791" customWidth="1"/>
    <col min="12035" max="12035" width="8.33203125" style="791" customWidth="1"/>
    <col min="12036" max="12036" width="51.33203125" style="791" customWidth="1"/>
    <col min="12037" max="12042" width="19.5546875" style="791" customWidth="1"/>
    <col min="12043" max="12043" width="50.5546875" style="791" customWidth="1"/>
    <col min="12044"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8" width="19.5546875" style="791" customWidth="1"/>
    <col min="12299" max="12299" width="50.5546875" style="791" customWidth="1"/>
    <col min="12300" max="12544" width="9.109375" style="791"/>
    <col min="12545" max="12545" width="2" style="791" customWidth="1"/>
    <col min="12546" max="12546" width="5.6640625" style="791" customWidth="1"/>
    <col min="12547" max="12547" width="8.33203125" style="791" customWidth="1"/>
    <col min="12548" max="12548" width="51.33203125" style="791" customWidth="1"/>
    <col min="12549" max="12554" width="19.5546875" style="791" customWidth="1"/>
    <col min="12555" max="12555" width="50.5546875" style="791" customWidth="1"/>
    <col min="12556" max="12800" width="9.109375" style="791"/>
    <col min="12801" max="12801" width="2" style="791" customWidth="1"/>
    <col min="12802" max="12802" width="5.6640625" style="791" customWidth="1"/>
    <col min="12803" max="12803" width="8.33203125" style="791" customWidth="1"/>
    <col min="12804" max="12804" width="51.33203125" style="791" customWidth="1"/>
    <col min="12805" max="12810" width="19.5546875" style="791" customWidth="1"/>
    <col min="12811" max="12811" width="50.5546875" style="791" customWidth="1"/>
    <col min="12812"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6" width="19.5546875" style="791" customWidth="1"/>
    <col min="13067" max="13067" width="50.5546875" style="791" customWidth="1"/>
    <col min="13068" max="13312" width="9.109375" style="791"/>
    <col min="13313" max="13313" width="2" style="791" customWidth="1"/>
    <col min="13314" max="13314" width="5.6640625" style="791" customWidth="1"/>
    <col min="13315" max="13315" width="8.33203125" style="791" customWidth="1"/>
    <col min="13316" max="13316" width="51.33203125" style="791" customWidth="1"/>
    <col min="13317" max="13322" width="19.5546875" style="791" customWidth="1"/>
    <col min="13323" max="13323" width="50.5546875" style="791" customWidth="1"/>
    <col min="13324"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8" width="19.5546875" style="791" customWidth="1"/>
    <col min="13579" max="13579" width="50.5546875" style="791" customWidth="1"/>
    <col min="13580" max="13824" width="9.109375" style="791"/>
    <col min="13825" max="13825" width="2" style="791" customWidth="1"/>
    <col min="13826" max="13826" width="5.6640625" style="791" customWidth="1"/>
    <col min="13827" max="13827" width="8.33203125" style="791" customWidth="1"/>
    <col min="13828" max="13828" width="51.33203125" style="791" customWidth="1"/>
    <col min="13829" max="13834" width="19.5546875" style="791" customWidth="1"/>
    <col min="13835" max="13835" width="50.5546875" style="791" customWidth="1"/>
    <col min="13836" max="14080" width="9.109375" style="791"/>
    <col min="14081" max="14081" width="2" style="791" customWidth="1"/>
    <col min="14082" max="14082" width="5.6640625" style="791" customWidth="1"/>
    <col min="14083" max="14083" width="8.33203125" style="791" customWidth="1"/>
    <col min="14084" max="14084" width="51.33203125" style="791" customWidth="1"/>
    <col min="14085" max="14090" width="19.5546875" style="791" customWidth="1"/>
    <col min="14091" max="14091" width="50.5546875" style="791" customWidth="1"/>
    <col min="14092"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6" width="19.5546875" style="791" customWidth="1"/>
    <col min="14347" max="14347" width="50.5546875" style="791" customWidth="1"/>
    <col min="14348" max="14592" width="9.109375" style="791"/>
    <col min="14593" max="14593" width="2" style="791" customWidth="1"/>
    <col min="14594" max="14594" width="5.6640625" style="791" customWidth="1"/>
    <col min="14595" max="14595" width="8.33203125" style="791" customWidth="1"/>
    <col min="14596" max="14596" width="51.33203125" style="791" customWidth="1"/>
    <col min="14597" max="14602" width="19.5546875" style="791" customWidth="1"/>
    <col min="14603" max="14603" width="50.5546875" style="791" customWidth="1"/>
    <col min="14604"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8" width="19.5546875" style="791" customWidth="1"/>
    <col min="14859" max="14859" width="50.5546875" style="791" customWidth="1"/>
    <col min="14860" max="15104" width="9.109375" style="791"/>
    <col min="15105" max="15105" width="2" style="791" customWidth="1"/>
    <col min="15106" max="15106" width="5.6640625" style="791" customWidth="1"/>
    <col min="15107" max="15107" width="8.33203125" style="791" customWidth="1"/>
    <col min="15108" max="15108" width="51.33203125" style="791" customWidth="1"/>
    <col min="15109" max="15114" width="19.5546875" style="791" customWidth="1"/>
    <col min="15115" max="15115" width="50.5546875" style="791" customWidth="1"/>
    <col min="15116" max="15360" width="9.109375" style="791"/>
    <col min="15361" max="15361" width="2" style="791" customWidth="1"/>
    <col min="15362" max="15362" width="5.6640625" style="791" customWidth="1"/>
    <col min="15363" max="15363" width="8.33203125" style="791" customWidth="1"/>
    <col min="15364" max="15364" width="51.33203125" style="791" customWidth="1"/>
    <col min="15365" max="15370" width="19.5546875" style="791" customWidth="1"/>
    <col min="15371" max="15371" width="50.5546875" style="791" customWidth="1"/>
    <col min="15372"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6" width="19.5546875" style="791" customWidth="1"/>
    <col min="15627" max="15627" width="50.5546875" style="791" customWidth="1"/>
    <col min="15628" max="15872" width="9.109375" style="791"/>
    <col min="15873" max="15873" width="2" style="791" customWidth="1"/>
    <col min="15874" max="15874" width="5.6640625" style="791" customWidth="1"/>
    <col min="15875" max="15875" width="8.33203125" style="791" customWidth="1"/>
    <col min="15876" max="15876" width="51.33203125" style="791" customWidth="1"/>
    <col min="15877" max="15882" width="19.5546875" style="791" customWidth="1"/>
    <col min="15883" max="15883" width="50.5546875" style="791" customWidth="1"/>
    <col min="15884"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8" width="19.5546875" style="791" customWidth="1"/>
    <col min="16139" max="16139" width="50.5546875" style="791" customWidth="1"/>
    <col min="16140" max="16384" width="9.109375" style="791"/>
  </cols>
  <sheetData>
    <row r="1" spans="1:11" ht="20.399999999999999">
      <c r="A1" s="944" t="s">
        <v>1317</v>
      </c>
      <c r="B1" s="944"/>
      <c r="C1" s="956"/>
      <c r="D1" s="956"/>
      <c r="E1" s="956"/>
      <c r="F1" s="956"/>
      <c r="G1" s="956"/>
      <c r="H1" s="956"/>
      <c r="I1" s="956"/>
      <c r="J1" s="956"/>
      <c r="K1" s="956"/>
    </row>
    <row r="2" spans="1:11" ht="19.2">
      <c r="A2" s="957" t="str">
        <f>Inputs!B2</f>
        <v>(For Rate Year Beginning April 1, 2026, Based on December 31, 2025 Data)</v>
      </c>
      <c r="B2" s="957"/>
      <c r="C2" s="957"/>
      <c r="D2" s="957"/>
      <c r="E2" s="957"/>
      <c r="F2" s="957"/>
      <c r="G2" s="957"/>
      <c r="H2" s="957"/>
      <c r="I2" s="957"/>
      <c r="J2" s="957"/>
      <c r="K2" s="957"/>
    </row>
    <row r="3" spans="1:11" ht="8.1" customHeight="1">
      <c r="B3" s="169"/>
      <c r="C3" s="168"/>
      <c r="D3" s="170"/>
      <c r="E3" s="170"/>
      <c r="F3" s="170"/>
      <c r="G3" s="170"/>
      <c r="H3" s="170"/>
      <c r="I3" s="170"/>
      <c r="J3" s="170"/>
      <c r="K3" s="171"/>
    </row>
    <row r="4" spans="1:11" ht="14.4">
      <c r="B4" s="169"/>
      <c r="C4" s="168"/>
      <c r="D4" s="814"/>
      <c r="E4" s="744"/>
      <c r="F4" s="744"/>
      <c r="G4" s="744"/>
      <c r="H4" s="744"/>
      <c r="I4" s="744"/>
      <c r="J4" s="744"/>
      <c r="K4" s="744"/>
    </row>
    <row r="5" spans="1:11" ht="14.4">
      <c r="B5" s="169"/>
      <c r="C5" s="815" t="s">
        <v>1318</v>
      </c>
      <c r="E5" s="794"/>
      <c r="F5" s="794"/>
      <c r="G5" s="794"/>
      <c r="H5" s="794"/>
      <c r="I5" s="794"/>
      <c r="J5" s="794"/>
      <c r="K5" s="744"/>
    </row>
    <row r="6" spans="1:11" ht="27.9" customHeight="1">
      <c r="B6" s="169"/>
      <c r="C6" s="962" t="s">
        <v>1441</v>
      </c>
      <c r="D6" s="962"/>
      <c r="E6" s="962"/>
      <c r="F6" s="962"/>
      <c r="G6" s="962"/>
      <c r="H6" s="962"/>
      <c r="I6" s="794"/>
      <c r="J6" s="794"/>
      <c r="K6" s="744"/>
    </row>
    <row r="7" spans="1:11" ht="14.4">
      <c r="B7" s="169"/>
      <c r="C7" s="168"/>
      <c r="D7" s="171"/>
      <c r="E7" s="744"/>
      <c r="F7" s="744"/>
      <c r="G7" s="744"/>
      <c r="H7" s="744"/>
      <c r="I7" s="744"/>
      <c r="J7" s="744"/>
      <c r="K7" s="744"/>
    </row>
    <row r="8" spans="1:11" ht="14.4">
      <c r="B8" s="169"/>
      <c r="C8" s="168"/>
      <c r="D8" s="816"/>
      <c r="E8" s="817" t="s">
        <v>1319</v>
      </c>
      <c r="F8" s="817" t="s">
        <v>1320</v>
      </c>
      <c r="G8" s="744"/>
      <c r="H8" s="744"/>
      <c r="I8" s="744"/>
      <c r="J8" s="744"/>
      <c r="K8" s="744"/>
    </row>
    <row r="9" spans="1:11" ht="14.4">
      <c r="B9" s="169"/>
      <c r="C9" s="168"/>
      <c r="D9" s="818" t="s">
        <v>1321</v>
      </c>
      <c r="E9" s="819">
        <f>+Inputs!D338</f>
        <v>0.35</v>
      </c>
      <c r="F9" s="819">
        <f>+Inputs!D339</f>
        <v>0.21</v>
      </c>
      <c r="G9" s="744"/>
      <c r="H9" s="744"/>
      <c r="I9" s="744"/>
      <c r="J9" s="744"/>
      <c r="K9" s="744"/>
    </row>
    <row r="10" spans="1:11" ht="14.4">
      <c r="B10" s="169"/>
      <c r="C10" s="168"/>
      <c r="D10" s="818" t="s">
        <v>1322</v>
      </c>
      <c r="E10" s="819">
        <f>+Inputs!D340</f>
        <v>0</v>
      </c>
      <c r="F10" s="819">
        <f>+Inputs!D341</f>
        <v>0</v>
      </c>
      <c r="G10" s="744"/>
      <c r="H10" s="744"/>
      <c r="I10" s="744"/>
      <c r="J10" s="744"/>
      <c r="K10" s="744"/>
    </row>
    <row r="11" spans="1:11" ht="14.4">
      <c r="B11" s="169"/>
      <c r="C11" s="168"/>
      <c r="D11" s="818" t="s">
        <v>1323</v>
      </c>
      <c r="E11" s="819">
        <f>-E9*E10</f>
        <v>0</v>
      </c>
      <c r="F11" s="819">
        <f>-F9*F10</f>
        <v>0</v>
      </c>
      <c r="G11" s="820"/>
      <c r="H11" s="744"/>
      <c r="I11" s="744"/>
      <c r="J11" s="744"/>
      <c r="K11" s="744"/>
    </row>
    <row r="12" spans="1:11" ht="14.4">
      <c r="B12" s="169"/>
      <c r="C12" s="168"/>
      <c r="D12" s="818" t="s">
        <v>1324</v>
      </c>
      <c r="E12" s="819">
        <v>0</v>
      </c>
      <c r="F12" s="819">
        <v>0</v>
      </c>
      <c r="G12" s="820"/>
      <c r="H12" s="744"/>
      <c r="I12" s="744"/>
      <c r="J12" s="744"/>
      <c r="K12" s="744"/>
    </row>
    <row r="13" spans="1:11" ht="15" thickBot="1">
      <c r="B13" s="169"/>
      <c r="C13" s="168"/>
      <c r="D13" s="818" t="s">
        <v>1325</v>
      </c>
      <c r="E13" s="821">
        <f>SUM(E9:E12)</f>
        <v>0.35</v>
      </c>
      <c r="F13" s="821">
        <f>SUM(F9:F12)</f>
        <v>0.21</v>
      </c>
      <c r="G13" s="744"/>
      <c r="H13" s="744"/>
      <c r="I13" s="744"/>
      <c r="J13" s="744"/>
      <c r="K13" s="744"/>
    </row>
    <row r="14" spans="1:11" ht="15.6" thickTop="1" thickBot="1">
      <c r="B14" s="169"/>
      <c r="C14" s="168"/>
      <c r="D14" s="818" t="s">
        <v>1326</v>
      </c>
      <c r="E14" s="822">
        <f>1/(1-E13)-1</f>
        <v>0.53846153846153832</v>
      </c>
      <c r="F14" s="822">
        <f>1/(1-F13)-1</f>
        <v>0.26582278481012644</v>
      </c>
      <c r="G14" s="744"/>
      <c r="H14" s="744"/>
      <c r="I14" s="744"/>
      <c r="J14" s="744"/>
      <c r="K14" s="744"/>
    </row>
    <row r="15" spans="1:11" ht="15" thickTop="1">
      <c r="B15" s="169"/>
      <c r="C15" s="168"/>
      <c r="D15" s="171"/>
      <c r="E15" s="744"/>
      <c r="F15" s="744"/>
      <c r="G15" s="744"/>
      <c r="H15" s="744"/>
      <c r="I15" s="744"/>
      <c r="J15" s="744"/>
      <c r="K15" s="744"/>
    </row>
    <row r="16" spans="1:11" ht="14.4">
      <c r="B16" s="169"/>
      <c r="C16" s="168"/>
      <c r="D16" s="171"/>
      <c r="E16" s="744"/>
      <c r="F16" s="744"/>
      <c r="G16" s="744"/>
      <c r="H16" s="744"/>
      <c r="I16" s="744"/>
      <c r="J16" s="744"/>
      <c r="K16" s="744"/>
    </row>
    <row r="17" spans="2:11" ht="14.4">
      <c r="B17" s="169"/>
      <c r="C17" s="815" t="s">
        <v>1327</v>
      </c>
      <c r="D17" s="171"/>
      <c r="E17" s="744"/>
      <c r="F17" s="744"/>
      <c r="G17" s="744"/>
      <c r="H17" s="744"/>
      <c r="I17" s="744"/>
      <c r="J17" s="744"/>
      <c r="K17" s="744"/>
    </row>
    <row r="18" spans="2:11" ht="14.4">
      <c r="B18" s="169"/>
      <c r="C18" s="168"/>
      <c r="D18" s="171"/>
      <c r="E18" s="744" t="s">
        <v>533</v>
      </c>
      <c r="F18" s="744" t="s">
        <v>534</v>
      </c>
      <c r="G18" s="744" t="s">
        <v>535</v>
      </c>
      <c r="H18" s="744" t="s">
        <v>536</v>
      </c>
      <c r="I18" s="744" t="s">
        <v>537</v>
      </c>
      <c r="J18" s="744" t="s">
        <v>538</v>
      </c>
      <c r="K18" s="744" t="s">
        <v>539</v>
      </c>
    </row>
    <row r="19" spans="2:11" ht="57.6">
      <c r="B19" s="823" t="s">
        <v>244</v>
      </c>
      <c r="C19" s="823" t="s">
        <v>61</v>
      </c>
      <c r="D19" s="823" t="s">
        <v>543</v>
      </c>
      <c r="E19" s="824" t="s">
        <v>1328</v>
      </c>
      <c r="F19" s="824" t="s">
        <v>1329</v>
      </c>
      <c r="G19" s="824" t="s">
        <v>1475</v>
      </c>
      <c r="H19" s="824" t="s">
        <v>1294</v>
      </c>
      <c r="I19" s="824" t="s">
        <v>1295</v>
      </c>
      <c r="J19" s="824" t="s">
        <v>1476</v>
      </c>
      <c r="K19" s="825" t="s">
        <v>257</v>
      </c>
    </row>
    <row r="20" spans="2:11" ht="13.8">
      <c r="B20" s="251">
        <v>1</v>
      </c>
      <c r="C20" s="826">
        <v>190</v>
      </c>
      <c r="D20" s="794" t="s">
        <v>1280</v>
      </c>
      <c r="E20" s="790">
        <f>+Inputs!D183</f>
        <v>0</v>
      </c>
      <c r="F20" s="790">
        <f>E20/$E$13*$F$13</f>
        <v>0</v>
      </c>
      <c r="G20" s="790">
        <f>E20-F20</f>
        <v>0</v>
      </c>
      <c r="H20" s="389"/>
      <c r="I20" s="389"/>
      <c r="J20" s="790">
        <f>SUM(G20:I20)</f>
        <v>0</v>
      </c>
      <c r="K20" s="388"/>
    </row>
    <row r="21" spans="2:11" ht="13.8">
      <c r="B21" s="251">
        <f>B20+1</f>
        <v>2</v>
      </c>
      <c r="C21" s="826">
        <v>190</v>
      </c>
      <c r="D21" s="794" t="s">
        <v>643</v>
      </c>
      <c r="E21" s="790">
        <f>+Inputs!D184</f>
        <v>0</v>
      </c>
      <c r="F21" s="790">
        <f>E21/$E$13*$F$13</f>
        <v>0</v>
      </c>
      <c r="G21" s="790">
        <f>E21-F21</f>
        <v>0</v>
      </c>
      <c r="H21" s="389"/>
      <c r="I21" s="389"/>
      <c r="J21" s="790">
        <f>SUM(G21:I21)</f>
        <v>0</v>
      </c>
      <c r="K21" s="388"/>
    </row>
    <row r="22" spans="2:11" ht="13.8">
      <c r="B22" s="251">
        <f>B21+1</f>
        <v>3</v>
      </c>
      <c r="C22" s="827"/>
      <c r="D22" s="388"/>
      <c r="E22" s="389"/>
      <c r="F22" s="790">
        <f>E22/$E$13*$F$13</f>
        <v>0</v>
      </c>
      <c r="G22" s="790">
        <f>E22-F22</f>
        <v>0</v>
      </c>
      <c r="H22" s="389"/>
      <c r="I22" s="389"/>
      <c r="J22" s="790">
        <f>SUM(G22:I22)</f>
        <v>0</v>
      </c>
      <c r="K22" s="388"/>
    </row>
    <row r="23" spans="2:11" ht="13.8">
      <c r="B23" s="251">
        <f t="shared" ref="B23:B86" si="0">B22+1</f>
        <v>4</v>
      </c>
      <c r="C23" s="827"/>
      <c r="D23" s="388"/>
      <c r="E23" s="389"/>
      <c r="F23" s="790">
        <f>E23/$E$13*$F$13</f>
        <v>0</v>
      </c>
      <c r="G23" s="790">
        <f>E23-F23</f>
        <v>0</v>
      </c>
      <c r="H23" s="389"/>
      <c r="I23" s="389"/>
      <c r="J23" s="790">
        <f>SUM(G23:I23)</f>
        <v>0</v>
      </c>
      <c r="K23" s="388"/>
    </row>
    <row r="24" spans="2:11" ht="13.8">
      <c r="B24" s="251">
        <f t="shared" si="0"/>
        <v>5</v>
      </c>
      <c r="C24" s="827"/>
      <c r="D24" s="388"/>
      <c r="E24" s="389"/>
      <c r="F24" s="790">
        <f>E24/$E$13*$F$13</f>
        <v>0</v>
      </c>
      <c r="G24" s="790">
        <f>E24-F24</f>
        <v>0</v>
      </c>
      <c r="H24" s="389"/>
      <c r="I24" s="389"/>
      <c r="J24" s="790">
        <f>SUM(G24:I24)</f>
        <v>0</v>
      </c>
      <c r="K24" s="388"/>
    </row>
    <row r="25" spans="2:11" ht="13.8">
      <c r="B25" s="251">
        <f t="shared" si="0"/>
        <v>6</v>
      </c>
      <c r="C25" s="168"/>
      <c r="D25" s="170"/>
      <c r="E25" s="175"/>
      <c r="F25" s="175"/>
      <c r="G25" s="175"/>
      <c r="H25" s="175"/>
      <c r="I25" s="175"/>
      <c r="J25" s="175"/>
      <c r="K25" s="175"/>
    </row>
    <row r="26" spans="2:11" ht="13.8">
      <c r="B26" s="251">
        <f t="shared" si="0"/>
        <v>7</v>
      </c>
      <c r="C26" s="168"/>
      <c r="D26" s="176" t="s">
        <v>1330</v>
      </c>
      <c r="E26" s="175">
        <f t="shared" ref="E26:J26" si="1">SUM(E20:E24)</f>
        <v>0</v>
      </c>
      <c r="F26" s="175">
        <f t="shared" si="1"/>
        <v>0</v>
      </c>
      <c r="G26" s="175">
        <f t="shared" si="1"/>
        <v>0</v>
      </c>
      <c r="H26" s="175">
        <f t="shared" si="1"/>
        <v>0</v>
      </c>
      <c r="I26" s="175">
        <f t="shared" si="1"/>
        <v>0</v>
      </c>
      <c r="J26" s="175">
        <f t="shared" si="1"/>
        <v>0</v>
      </c>
      <c r="K26" s="170" t="s">
        <v>1331</v>
      </c>
    </row>
    <row r="27" spans="2:11" ht="13.8">
      <c r="B27" s="251">
        <f t="shared" si="0"/>
        <v>8</v>
      </c>
      <c r="C27" s="383"/>
      <c r="D27" s="176" t="s">
        <v>1332</v>
      </c>
      <c r="E27" s="177"/>
      <c r="F27" s="177"/>
      <c r="G27" s="177"/>
      <c r="H27" s="177"/>
      <c r="I27" s="177"/>
      <c r="J27" s="177"/>
    </row>
    <row r="28" spans="2:11" ht="13.8">
      <c r="B28" s="251">
        <f t="shared" si="0"/>
        <v>9</v>
      </c>
      <c r="C28" s="168"/>
      <c r="D28" s="176" t="s">
        <v>1301</v>
      </c>
      <c r="E28" s="175"/>
      <c r="F28" s="175"/>
      <c r="G28" s="175"/>
      <c r="H28" s="175"/>
      <c r="I28" s="175"/>
      <c r="J28" s="175"/>
    </row>
    <row r="29" spans="2:11" ht="13.8">
      <c r="B29" s="251">
        <f t="shared" si="0"/>
        <v>10</v>
      </c>
      <c r="C29" s="168"/>
      <c r="D29" s="176"/>
      <c r="E29" s="175"/>
      <c r="F29" s="175"/>
      <c r="G29" s="175"/>
      <c r="H29" s="175"/>
      <c r="I29" s="175"/>
      <c r="J29" s="175"/>
      <c r="K29" s="175"/>
    </row>
    <row r="30" spans="2:11" ht="13.8">
      <c r="B30" s="251">
        <f t="shared" si="0"/>
        <v>11</v>
      </c>
      <c r="C30" s="168"/>
      <c r="D30" s="176"/>
      <c r="E30" s="175"/>
      <c r="F30" s="175"/>
      <c r="G30" s="175"/>
      <c r="H30" s="175"/>
      <c r="I30" s="175"/>
      <c r="J30" s="175"/>
      <c r="K30" s="175"/>
    </row>
    <row r="31" spans="2:11" ht="13.8">
      <c r="B31" s="251">
        <f t="shared" si="0"/>
        <v>12</v>
      </c>
      <c r="C31" s="168">
        <v>190</v>
      </c>
      <c r="D31" s="794" t="s">
        <v>1273</v>
      </c>
      <c r="E31" s="175">
        <f>+Inputs!D185</f>
        <v>0</v>
      </c>
      <c r="F31" s="790">
        <f t="shared" ref="F31:F43" si="2">E31/$E$13*$F$13</f>
        <v>0</v>
      </c>
      <c r="G31" s="790">
        <f t="shared" ref="G31:G43" si="3">E31-F31</f>
        <v>0</v>
      </c>
      <c r="H31" s="798"/>
      <c r="I31" s="798"/>
      <c r="J31" s="790">
        <f t="shared" ref="J31:J43" si="4">SUM(G31:I31)</f>
        <v>0</v>
      </c>
      <c r="K31" s="798"/>
    </row>
    <row r="32" spans="2:11" ht="13.8">
      <c r="B32" s="251">
        <f t="shared" si="0"/>
        <v>13</v>
      </c>
      <c r="C32" s="826">
        <v>190</v>
      </c>
      <c r="D32" s="794" t="s">
        <v>1274</v>
      </c>
      <c r="E32" s="175">
        <f>+Inputs!D186</f>
        <v>0</v>
      </c>
      <c r="F32" s="790">
        <f t="shared" si="2"/>
        <v>0</v>
      </c>
      <c r="G32" s="790">
        <f t="shared" si="3"/>
        <v>0</v>
      </c>
      <c r="H32" s="389"/>
      <c r="I32" s="389"/>
      <c r="J32" s="790">
        <f t="shared" si="4"/>
        <v>0</v>
      </c>
      <c r="K32" s="388"/>
    </row>
    <row r="33" spans="2:11" ht="13.8">
      <c r="B33" s="251">
        <f t="shared" si="0"/>
        <v>14</v>
      </c>
      <c r="C33" s="826">
        <v>190</v>
      </c>
      <c r="D33" s="794" t="s">
        <v>1275</v>
      </c>
      <c r="E33" s="175">
        <f>+Inputs!D187</f>
        <v>0</v>
      </c>
      <c r="F33" s="790">
        <f t="shared" si="2"/>
        <v>0</v>
      </c>
      <c r="G33" s="790">
        <f t="shared" si="3"/>
        <v>0</v>
      </c>
      <c r="H33" s="389"/>
      <c r="I33" s="389"/>
      <c r="J33" s="790">
        <f t="shared" si="4"/>
        <v>0</v>
      </c>
      <c r="K33" s="388"/>
    </row>
    <row r="34" spans="2:11" ht="13.8">
      <c r="B34" s="251">
        <f t="shared" si="0"/>
        <v>15</v>
      </c>
      <c r="C34" s="826">
        <v>190</v>
      </c>
      <c r="D34" s="794" t="s">
        <v>1276</v>
      </c>
      <c r="E34" s="175">
        <f>+Inputs!D188</f>
        <v>0</v>
      </c>
      <c r="F34" s="790">
        <f t="shared" si="2"/>
        <v>0</v>
      </c>
      <c r="G34" s="790">
        <f t="shared" si="3"/>
        <v>0</v>
      </c>
      <c r="H34" s="389"/>
      <c r="I34" s="389"/>
      <c r="J34" s="790">
        <f t="shared" si="4"/>
        <v>0</v>
      </c>
      <c r="K34" s="388"/>
    </row>
    <row r="35" spans="2:11" ht="13.8">
      <c r="B35" s="251">
        <f>B34+1</f>
        <v>16</v>
      </c>
      <c r="C35" s="826">
        <v>190</v>
      </c>
      <c r="D35" s="794" t="s">
        <v>1277</v>
      </c>
      <c r="E35" s="175">
        <f>+Inputs!D189</f>
        <v>0</v>
      </c>
      <c r="F35" s="790">
        <f t="shared" si="2"/>
        <v>0</v>
      </c>
      <c r="G35" s="790">
        <f t="shared" si="3"/>
        <v>0</v>
      </c>
      <c r="H35" s="389"/>
      <c r="I35" s="389"/>
      <c r="J35" s="790">
        <f t="shared" si="4"/>
        <v>0</v>
      </c>
      <c r="K35" s="388"/>
    </row>
    <row r="36" spans="2:11" ht="13.8">
      <c r="B36" s="251">
        <f t="shared" si="0"/>
        <v>17</v>
      </c>
      <c r="C36" s="826">
        <v>190</v>
      </c>
      <c r="D36" s="794" t="s">
        <v>639</v>
      </c>
      <c r="E36" s="175">
        <f>+Inputs!D190</f>
        <v>0</v>
      </c>
      <c r="F36" s="790">
        <f t="shared" si="2"/>
        <v>0</v>
      </c>
      <c r="G36" s="790">
        <f t="shared" si="3"/>
        <v>0</v>
      </c>
      <c r="H36" s="389"/>
      <c r="I36" s="389"/>
      <c r="J36" s="790">
        <f t="shared" si="4"/>
        <v>0</v>
      </c>
      <c r="K36" s="388"/>
    </row>
    <row r="37" spans="2:11" ht="13.8">
      <c r="B37" s="251">
        <f t="shared" si="0"/>
        <v>18</v>
      </c>
      <c r="C37" s="826">
        <v>190</v>
      </c>
      <c r="D37" s="794" t="s">
        <v>1278</v>
      </c>
      <c r="E37" s="175">
        <f>+Inputs!D191</f>
        <v>0</v>
      </c>
      <c r="F37" s="790">
        <f t="shared" si="2"/>
        <v>0</v>
      </c>
      <c r="G37" s="790">
        <f t="shared" si="3"/>
        <v>0</v>
      </c>
      <c r="H37" s="389"/>
      <c r="I37" s="389"/>
      <c r="J37" s="790">
        <f t="shared" si="4"/>
        <v>0</v>
      </c>
      <c r="K37" s="388"/>
    </row>
    <row r="38" spans="2:11" ht="13.8">
      <c r="B38" s="251">
        <f t="shared" si="0"/>
        <v>19</v>
      </c>
      <c r="C38" s="826">
        <v>190</v>
      </c>
      <c r="D38" s="794" t="s">
        <v>1279</v>
      </c>
      <c r="E38" s="175">
        <f>+Inputs!D192</f>
        <v>0</v>
      </c>
      <c r="F38" s="790">
        <f t="shared" si="2"/>
        <v>0</v>
      </c>
      <c r="G38" s="790">
        <f t="shared" si="3"/>
        <v>0</v>
      </c>
      <c r="H38" s="389"/>
      <c r="I38" s="389"/>
      <c r="J38" s="790">
        <f t="shared" si="4"/>
        <v>0</v>
      </c>
      <c r="K38" s="388"/>
    </row>
    <row r="39" spans="2:11" ht="13.8">
      <c r="B39" s="251">
        <f t="shared" si="0"/>
        <v>20</v>
      </c>
      <c r="C39" s="826">
        <v>190</v>
      </c>
      <c r="D39" s="794" t="s">
        <v>1280</v>
      </c>
      <c r="E39" s="175">
        <f>+Inputs!D193</f>
        <v>0</v>
      </c>
      <c r="F39" s="790">
        <f>E39/$E$13*$F$13</f>
        <v>0</v>
      </c>
      <c r="G39" s="790">
        <f>E39-F39</f>
        <v>0</v>
      </c>
      <c r="H39" s="389"/>
      <c r="I39" s="389"/>
      <c r="J39" s="790">
        <f>SUM(G39:I39)</f>
        <v>0</v>
      </c>
      <c r="K39" s="805"/>
    </row>
    <row r="40" spans="2:11" ht="13.8">
      <c r="B40" s="251">
        <f t="shared" si="0"/>
        <v>21</v>
      </c>
      <c r="C40" s="826">
        <v>190</v>
      </c>
      <c r="D40" s="794" t="s">
        <v>643</v>
      </c>
      <c r="E40" s="175">
        <f>+Inputs!D194</f>
        <v>0</v>
      </c>
      <c r="F40" s="790">
        <f t="shared" si="2"/>
        <v>0</v>
      </c>
      <c r="G40" s="790">
        <f t="shared" si="3"/>
        <v>0</v>
      </c>
      <c r="H40" s="389"/>
      <c r="I40" s="389"/>
      <c r="J40" s="790">
        <f t="shared" si="4"/>
        <v>0</v>
      </c>
      <c r="K40" s="388"/>
    </row>
    <row r="41" spans="2:11" ht="13.8">
      <c r="B41" s="251">
        <f t="shared" si="0"/>
        <v>22</v>
      </c>
      <c r="C41" s="827"/>
      <c r="D41" s="808"/>
      <c r="E41" s="808"/>
      <c r="F41" s="790">
        <f t="shared" si="2"/>
        <v>0</v>
      </c>
      <c r="G41" s="790">
        <f t="shared" si="3"/>
        <v>0</v>
      </c>
      <c r="H41" s="808"/>
      <c r="I41" s="808"/>
      <c r="J41" s="790">
        <f t="shared" si="4"/>
        <v>0</v>
      </c>
      <c r="K41" s="808"/>
    </row>
    <row r="42" spans="2:11" ht="13.8">
      <c r="B42" s="251">
        <f t="shared" si="0"/>
        <v>23</v>
      </c>
      <c r="C42" s="387"/>
      <c r="D42" s="388"/>
      <c r="E42" s="389"/>
      <c r="F42" s="790">
        <f t="shared" si="2"/>
        <v>0</v>
      </c>
      <c r="G42" s="790">
        <f t="shared" si="3"/>
        <v>0</v>
      </c>
      <c r="H42" s="389"/>
      <c r="I42" s="389"/>
      <c r="J42" s="790">
        <f t="shared" si="4"/>
        <v>0</v>
      </c>
      <c r="K42" s="388"/>
    </row>
    <row r="43" spans="2:11" ht="13.8">
      <c r="B43" s="251">
        <f t="shared" si="0"/>
        <v>24</v>
      </c>
      <c r="C43" s="387"/>
      <c r="D43" s="388"/>
      <c r="E43" s="389"/>
      <c r="F43" s="790">
        <f t="shared" si="2"/>
        <v>0</v>
      </c>
      <c r="G43" s="790">
        <f t="shared" si="3"/>
        <v>0</v>
      </c>
      <c r="H43" s="389"/>
      <c r="I43" s="389"/>
      <c r="J43" s="790">
        <f t="shared" si="4"/>
        <v>0</v>
      </c>
      <c r="K43" s="388"/>
    </row>
    <row r="44" spans="2:11" ht="13.8">
      <c r="B44" s="251">
        <f t="shared" si="0"/>
        <v>25</v>
      </c>
      <c r="C44" s="168"/>
      <c r="D44" s="170"/>
      <c r="E44" s="175"/>
      <c r="F44" s="175"/>
      <c r="G44" s="175"/>
      <c r="H44" s="175"/>
      <c r="I44" s="175"/>
      <c r="J44" s="175"/>
      <c r="K44" s="175"/>
    </row>
    <row r="45" spans="2:11" ht="13.8">
      <c r="B45" s="251">
        <f t="shared" si="0"/>
        <v>26</v>
      </c>
      <c r="C45" s="168"/>
      <c r="D45" s="176" t="s">
        <v>1333</v>
      </c>
      <c r="E45" s="175">
        <f t="shared" ref="E45:J45" si="5">SUM(E31:E43)</f>
        <v>0</v>
      </c>
      <c r="F45" s="175">
        <f t="shared" si="5"/>
        <v>0</v>
      </c>
      <c r="G45" s="175">
        <f t="shared" si="5"/>
        <v>0</v>
      </c>
      <c r="H45" s="175">
        <f t="shared" si="5"/>
        <v>0</v>
      </c>
      <c r="I45" s="175">
        <f t="shared" si="5"/>
        <v>0</v>
      </c>
      <c r="J45" s="175">
        <f t="shared" si="5"/>
        <v>0</v>
      </c>
      <c r="K45" s="170" t="s">
        <v>1331</v>
      </c>
    </row>
    <row r="46" spans="2:11" ht="13.8">
      <c r="B46" s="251">
        <f t="shared" si="0"/>
        <v>27</v>
      </c>
      <c r="C46" s="168"/>
      <c r="D46" s="176" t="s">
        <v>1332</v>
      </c>
      <c r="F46" s="175"/>
      <c r="G46" s="175"/>
      <c r="K46" s="175"/>
    </row>
    <row r="47" spans="2:11" ht="13.8">
      <c r="B47" s="251">
        <f t="shared" si="0"/>
        <v>28</v>
      </c>
      <c r="C47" s="383"/>
      <c r="D47" s="176" t="s">
        <v>1302</v>
      </c>
      <c r="E47" s="177"/>
      <c r="F47" s="177"/>
      <c r="G47" s="177"/>
      <c r="K47" s="442"/>
    </row>
    <row r="48" spans="2:11" ht="13.8">
      <c r="B48" s="251">
        <f t="shared" si="0"/>
        <v>29</v>
      </c>
      <c r="C48" s="168"/>
      <c r="D48" s="176" t="s">
        <v>1477</v>
      </c>
      <c r="E48" s="175"/>
      <c r="F48" s="175"/>
      <c r="G48" s="175"/>
      <c r="H48" s="175"/>
      <c r="I48" s="175"/>
      <c r="J48" s="175"/>
      <c r="K48" s="170"/>
    </row>
    <row r="49" spans="2:11" ht="13.8">
      <c r="B49" s="251">
        <f t="shared" si="0"/>
        <v>30</v>
      </c>
      <c r="C49" s="168"/>
      <c r="D49" s="176" t="s">
        <v>1478</v>
      </c>
      <c r="F49" s="232"/>
      <c r="G49" s="232">
        <f>+G45+G26</f>
        <v>0</v>
      </c>
      <c r="H49" s="232">
        <f>+H45+H26</f>
        <v>0</v>
      </c>
      <c r="I49" s="232">
        <f>+I45+I26</f>
        <v>0</v>
      </c>
      <c r="J49" s="232">
        <f>+J45+J26</f>
        <v>0</v>
      </c>
      <c r="K49" s="175"/>
    </row>
    <row r="50" spans="2:11" ht="14.4" thickBot="1">
      <c r="B50" s="251">
        <f t="shared" si="0"/>
        <v>31</v>
      </c>
      <c r="C50" s="168"/>
      <c r="F50" s="232"/>
      <c r="G50" s="232"/>
      <c r="H50" s="232"/>
      <c r="I50" s="232"/>
      <c r="J50" s="232"/>
      <c r="K50" s="175"/>
    </row>
    <row r="51" spans="2:11" ht="14.4" thickBot="1">
      <c r="B51" s="251">
        <f t="shared" si="0"/>
        <v>32</v>
      </c>
      <c r="C51" s="168"/>
      <c r="D51" s="176" t="s">
        <v>1334</v>
      </c>
      <c r="F51" s="232"/>
      <c r="G51" s="232"/>
      <c r="H51" s="232"/>
      <c r="I51" s="232"/>
      <c r="J51" s="828">
        <f>+Inputs!D201</f>
        <v>0</v>
      </c>
      <c r="K51" s="175"/>
    </row>
    <row r="52" spans="2:11" ht="13.8">
      <c r="B52" s="251">
        <f t="shared" si="0"/>
        <v>33</v>
      </c>
      <c r="C52" s="168"/>
      <c r="D52" s="176"/>
      <c r="E52" s="175"/>
      <c r="F52" s="175"/>
      <c r="G52" s="175"/>
      <c r="H52" s="175"/>
      <c r="I52" s="175"/>
      <c r="J52" s="175"/>
      <c r="K52" s="175"/>
    </row>
    <row r="53" spans="2:11" ht="13.8">
      <c r="B53" s="251">
        <f t="shared" si="0"/>
        <v>34</v>
      </c>
      <c r="C53" s="168"/>
      <c r="D53" s="176"/>
      <c r="E53" s="170"/>
      <c r="F53" s="170"/>
      <c r="G53" s="170"/>
      <c r="H53" s="170"/>
      <c r="I53" s="170"/>
      <c r="J53" s="170"/>
      <c r="K53" s="178"/>
    </row>
    <row r="54" spans="2:11" ht="14.1" customHeight="1">
      <c r="B54" s="251">
        <f t="shared" si="0"/>
        <v>35</v>
      </c>
      <c r="C54" s="826">
        <v>282</v>
      </c>
      <c r="D54" s="794" t="s">
        <v>1335</v>
      </c>
      <c r="E54" s="790">
        <f>+Inputs!D195</f>
        <v>0</v>
      </c>
      <c r="F54" s="790">
        <f>E54/$E$13*$F$13</f>
        <v>0</v>
      </c>
      <c r="G54" s="790">
        <f>E54-F54</f>
        <v>0</v>
      </c>
      <c r="H54" s="389"/>
      <c r="I54" s="389"/>
      <c r="J54" s="790">
        <f>SUM(G54:I54)</f>
        <v>0</v>
      </c>
      <c r="K54" s="388"/>
    </row>
    <row r="55" spans="2:11" ht="14.1" customHeight="1">
      <c r="B55" s="251">
        <f t="shared" si="0"/>
        <v>36</v>
      </c>
      <c r="C55" s="826">
        <v>282</v>
      </c>
      <c r="D55" s="794" t="s">
        <v>1072</v>
      </c>
      <c r="E55" s="790">
        <f>+Inputs!D196</f>
        <v>0</v>
      </c>
      <c r="F55" s="790">
        <f>E55/$E$13*$F$13</f>
        <v>0</v>
      </c>
      <c r="G55" s="790">
        <f>E55-F55</f>
        <v>0</v>
      </c>
      <c r="H55" s="389"/>
      <c r="I55" s="389"/>
      <c r="J55" s="790">
        <f>SUM(G55:I55)</f>
        <v>0</v>
      </c>
      <c r="K55" s="388"/>
    </row>
    <row r="56" spans="2:11" ht="13.8">
      <c r="B56" s="251">
        <f t="shared" si="0"/>
        <v>37</v>
      </c>
      <c r="C56" s="827"/>
      <c r="D56" s="388"/>
      <c r="E56" s="389"/>
      <c r="F56" s="790">
        <f>E56/$E$13*$F$13</f>
        <v>0</v>
      </c>
      <c r="G56" s="790">
        <f>E56-F56</f>
        <v>0</v>
      </c>
      <c r="H56" s="389"/>
      <c r="I56" s="389"/>
      <c r="J56" s="790">
        <f>SUM(G56:I56)</f>
        <v>0</v>
      </c>
      <c r="K56" s="389"/>
    </row>
    <row r="57" spans="2:11" ht="13.8">
      <c r="B57" s="251">
        <f t="shared" si="0"/>
        <v>38</v>
      </c>
      <c r="C57" s="387"/>
      <c r="D57" s="388"/>
      <c r="E57" s="389"/>
      <c r="F57" s="790">
        <f>E57/$E$13*$F$13</f>
        <v>0</v>
      </c>
      <c r="G57" s="790">
        <f>E57-F57</f>
        <v>0</v>
      </c>
      <c r="H57" s="389"/>
      <c r="I57" s="389"/>
      <c r="J57" s="790">
        <f>SUM(G57:I57)</f>
        <v>0</v>
      </c>
      <c r="K57" s="389"/>
    </row>
    <row r="58" spans="2:11" ht="13.8">
      <c r="B58" s="251">
        <f t="shared" si="0"/>
        <v>39</v>
      </c>
      <c r="C58" s="387"/>
      <c r="D58" s="388"/>
      <c r="E58" s="389"/>
      <c r="F58" s="790">
        <f>E58/$E$13*$F$13</f>
        <v>0</v>
      </c>
      <c r="G58" s="790">
        <f>E58-F58</f>
        <v>0</v>
      </c>
      <c r="H58" s="389"/>
      <c r="I58" s="389"/>
      <c r="J58" s="790">
        <f>SUM(G58:I58)</f>
        <v>0</v>
      </c>
      <c r="K58" s="389"/>
    </row>
    <row r="59" spans="2:11" ht="13.8">
      <c r="B59" s="251">
        <f t="shared" si="0"/>
        <v>40</v>
      </c>
      <c r="C59" s="382"/>
      <c r="D59" s="170"/>
      <c r="E59" s="175"/>
      <c r="F59" s="175"/>
      <c r="G59" s="175"/>
      <c r="H59" s="175"/>
      <c r="I59" s="175"/>
      <c r="J59" s="175"/>
      <c r="K59" s="175"/>
    </row>
    <row r="60" spans="2:11" ht="13.8">
      <c r="B60" s="251">
        <f t="shared" si="0"/>
        <v>41</v>
      </c>
      <c r="C60" s="382"/>
      <c r="D60" s="176" t="s">
        <v>1336</v>
      </c>
      <c r="E60" s="175">
        <f t="shared" ref="E60:J60" si="6">SUM(E54:E58)</f>
        <v>0</v>
      </c>
      <c r="F60" s="175">
        <f t="shared" si="6"/>
        <v>0</v>
      </c>
      <c r="G60" s="175">
        <f t="shared" si="6"/>
        <v>0</v>
      </c>
      <c r="H60" s="175">
        <f t="shared" si="6"/>
        <v>0</v>
      </c>
      <c r="I60" s="175">
        <f t="shared" si="6"/>
        <v>0</v>
      </c>
      <c r="J60" s="175">
        <f t="shared" si="6"/>
        <v>0</v>
      </c>
      <c r="K60" s="170" t="s">
        <v>1331</v>
      </c>
    </row>
    <row r="61" spans="2:11" ht="13.8">
      <c r="B61" s="251">
        <f t="shared" si="0"/>
        <v>42</v>
      </c>
      <c r="C61" s="382"/>
      <c r="D61" s="176" t="s">
        <v>1332</v>
      </c>
      <c r="E61" s="177"/>
      <c r="F61" s="177"/>
      <c r="G61" s="177"/>
      <c r="H61" s="177"/>
      <c r="I61" s="177"/>
      <c r="J61" s="177"/>
      <c r="K61" s="442"/>
    </row>
    <row r="62" spans="2:11" ht="13.8">
      <c r="B62" s="251">
        <f t="shared" si="0"/>
        <v>43</v>
      </c>
      <c r="C62" s="384"/>
      <c r="D62" s="176" t="s">
        <v>1307</v>
      </c>
      <c r="E62" s="175"/>
      <c r="F62" s="175"/>
      <c r="G62" s="175"/>
      <c r="H62" s="175"/>
      <c r="I62" s="175"/>
      <c r="J62" s="175"/>
      <c r="K62" s="443"/>
    </row>
    <row r="63" spans="2:11" ht="13.8">
      <c r="B63" s="251">
        <f t="shared" si="0"/>
        <v>44</v>
      </c>
      <c r="C63" s="384"/>
      <c r="D63" s="176"/>
      <c r="E63" s="175"/>
      <c r="F63" s="175"/>
      <c r="G63" s="175"/>
      <c r="H63" s="175"/>
      <c r="I63" s="175"/>
      <c r="J63" s="175"/>
      <c r="K63" s="443"/>
    </row>
    <row r="64" spans="2:11" ht="13.8">
      <c r="B64" s="251">
        <f t="shared" si="0"/>
        <v>45</v>
      </c>
      <c r="C64" s="384"/>
      <c r="D64" s="176"/>
      <c r="E64" s="175"/>
      <c r="F64" s="175"/>
      <c r="G64" s="175"/>
      <c r="H64" s="175"/>
      <c r="I64" s="175"/>
      <c r="J64" s="175"/>
      <c r="K64" s="175"/>
    </row>
    <row r="65" spans="2:11" ht="13.8">
      <c r="B65" s="251">
        <f t="shared" si="0"/>
        <v>46</v>
      </c>
      <c r="C65" s="384"/>
      <c r="D65" s="176"/>
      <c r="E65" s="175"/>
      <c r="F65" s="175"/>
      <c r="G65" s="175"/>
      <c r="H65" s="175"/>
      <c r="I65" s="175"/>
      <c r="J65" s="175"/>
      <c r="K65" s="175"/>
    </row>
    <row r="66" spans="2:11" ht="13.8">
      <c r="B66" s="251">
        <f t="shared" si="0"/>
        <v>47</v>
      </c>
      <c r="C66" s="826">
        <v>282</v>
      </c>
      <c r="D66" s="794" t="s">
        <v>1337</v>
      </c>
      <c r="E66" s="790">
        <f>+Inputs!D197</f>
        <v>0</v>
      </c>
      <c r="F66" s="790">
        <f t="shared" ref="F66:F72" si="7">E66/$E$13*$F$13</f>
        <v>0</v>
      </c>
      <c r="G66" s="790">
        <f t="shared" ref="G66:G72" si="8">E66-F66</f>
        <v>0</v>
      </c>
      <c r="H66" s="389"/>
      <c r="I66" s="389"/>
      <c r="J66" s="790">
        <f t="shared" ref="J66:J72" si="9">SUM(G66:I66)</f>
        <v>0</v>
      </c>
      <c r="K66" s="388"/>
    </row>
    <row r="67" spans="2:11" ht="13.8">
      <c r="B67" s="251">
        <f t="shared" si="0"/>
        <v>48</v>
      </c>
      <c r="C67" s="826">
        <v>282</v>
      </c>
      <c r="D67" s="794" t="s">
        <v>1338</v>
      </c>
      <c r="E67" s="790">
        <f>+Inputs!D198</f>
        <v>0</v>
      </c>
      <c r="F67" s="790">
        <f>E67/$E$13*$F$13</f>
        <v>0</v>
      </c>
      <c r="G67" s="790">
        <f>E67-F67</f>
        <v>0</v>
      </c>
      <c r="H67" s="389"/>
      <c r="I67" s="389"/>
      <c r="J67" s="790">
        <f t="shared" si="9"/>
        <v>0</v>
      </c>
      <c r="K67" s="388"/>
    </row>
    <row r="68" spans="2:11" ht="13.8">
      <c r="B68" s="251">
        <f t="shared" si="0"/>
        <v>49</v>
      </c>
      <c r="C68" s="826">
        <v>283</v>
      </c>
      <c r="D68" s="794" t="s">
        <v>1117</v>
      </c>
      <c r="E68" s="790">
        <f>+Inputs!D199</f>
        <v>0</v>
      </c>
      <c r="F68" s="790">
        <f t="shared" si="7"/>
        <v>0</v>
      </c>
      <c r="G68" s="790">
        <f t="shared" si="8"/>
        <v>0</v>
      </c>
      <c r="H68" s="389"/>
      <c r="I68" s="389"/>
      <c r="J68" s="790">
        <f t="shared" si="9"/>
        <v>0</v>
      </c>
      <c r="K68" s="388"/>
    </row>
    <row r="69" spans="2:11" ht="13.8">
      <c r="B69" s="251">
        <f t="shared" si="0"/>
        <v>50</v>
      </c>
      <c r="C69" s="826">
        <v>283</v>
      </c>
      <c r="D69" s="794" t="s">
        <v>1120</v>
      </c>
      <c r="E69" s="790">
        <f>+Inputs!D200</f>
        <v>0</v>
      </c>
      <c r="F69" s="790">
        <f t="shared" si="7"/>
        <v>0</v>
      </c>
      <c r="G69" s="790">
        <f t="shared" si="8"/>
        <v>0</v>
      </c>
      <c r="H69" s="389"/>
      <c r="I69" s="389"/>
      <c r="J69" s="790">
        <f t="shared" si="9"/>
        <v>0</v>
      </c>
      <c r="K69" s="388"/>
    </row>
    <row r="70" spans="2:11" ht="13.8">
      <c r="B70" s="251">
        <f t="shared" si="0"/>
        <v>51</v>
      </c>
      <c r="C70" s="387"/>
      <c r="D70" s="388"/>
      <c r="E70" s="389"/>
      <c r="F70" s="790">
        <f t="shared" si="7"/>
        <v>0</v>
      </c>
      <c r="G70" s="790">
        <f t="shared" si="8"/>
        <v>0</v>
      </c>
      <c r="H70" s="389"/>
      <c r="I70" s="389"/>
      <c r="J70" s="790">
        <f t="shared" si="9"/>
        <v>0</v>
      </c>
      <c r="K70" s="388"/>
    </row>
    <row r="71" spans="2:11" ht="13.8">
      <c r="B71" s="251">
        <f t="shared" si="0"/>
        <v>52</v>
      </c>
      <c r="C71" s="387"/>
      <c r="D71" s="388"/>
      <c r="E71" s="389"/>
      <c r="F71" s="790">
        <f t="shared" si="7"/>
        <v>0</v>
      </c>
      <c r="G71" s="790">
        <f t="shared" si="8"/>
        <v>0</v>
      </c>
      <c r="H71" s="389"/>
      <c r="I71" s="389"/>
      <c r="J71" s="790">
        <f t="shared" si="9"/>
        <v>0</v>
      </c>
      <c r="K71" s="389"/>
    </row>
    <row r="72" spans="2:11" ht="13.8">
      <c r="B72" s="251">
        <f t="shared" si="0"/>
        <v>53</v>
      </c>
      <c r="C72" s="387"/>
      <c r="D72" s="388"/>
      <c r="E72" s="389"/>
      <c r="F72" s="790">
        <f t="shared" si="7"/>
        <v>0</v>
      </c>
      <c r="G72" s="790">
        <f t="shared" si="8"/>
        <v>0</v>
      </c>
      <c r="H72" s="389"/>
      <c r="I72" s="389"/>
      <c r="J72" s="790">
        <f t="shared" si="9"/>
        <v>0</v>
      </c>
      <c r="K72" s="389"/>
    </row>
    <row r="73" spans="2:11" ht="13.8">
      <c r="B73" s="251">
        <f t="shared" si="0"/>
        <v>54</v>
      </c>
      <c r="C73" s="174"/>
      <c r="D73" s="170"/>
      <c r="E73" s="175"/>
      <c r="F73" s="790"/>
      <c r="G73" s="790"/>
      <c r="H73" s="175"/>
      <c r="I73" s="175"/>
      <c r="J73" s="175"/>
      <c r="K73" s="175"/>
    </row>
    <row r="74" spans="2:11" ht="13.8">
      <c r="B74" s="251">
        <f t="shared" si="0"/>
        <v>55</v>
      </c>
      <c r="C74" s="174"/>
      <c r="D74" s="176" t="s">
        <v>1339</v>
      </c>
      <c r="E74" s="175">
        <f t="shared" ref="E74:J74" si="10">SUM(E66:E72)</f>
        <v>0</v>
      </c>
      <c r="F74" s="175">
        <f t="shared" si="10"/>
        <v>0</v>
      </c>
      <c r="G74" s="175">
        <f t="shared" si="10"/>
        <v>0</v>
      </c>
      <c r="H74" s="175">
        <f t="shared" si="10"/>
        <v>0</v>
      </c>
      <c r="I74" s="175">
        <f t="shared" si="10"/>
        <v>0</v>
      </c>
      <c r="J74" s="175">
        <f t="shared" si="10"/>
        <v>0</v>
      </c>
      <c r="K74" s="170" t="s">
        <v>1331</v>
      </c>
    </row>
    <row r="75" spans="2:11" ht="13.8">
      <c r="B75" s="251">
        <f t="shared" si="0"/>
        <v>56</v>
      </c>
      <c r="C75" s="174"/>
      <c r="D75" s="176" t="s">
        <v>1332</v>
      </c>
      <c r="E75" s="175"/>
      <c r="F75" s="175"/>
      <c r="G75" s="175"/>
      <c r="H75" s="175"/>
      <c r="I75" s="175"/>
      <c r="J75" s="175"/>
      <c r="K75" s="175"/>
    </row>
    <row r="76" spans="2:11" ht="13.8">
      <c r="B76" s="251">
        <f t="shared" si="0"/>
        <v>57</v>
      </c>
      <c r="C76" s="174"/>
      <c r="D76" s="176" t="s">
        <v>1479</v>
      </c>
      <c r="F76" s="232"/>
      <c r="G76" s="232"/>
      <c r="H76" s="232"/>
      <c r="I76" s="232"/>
      <c r="J76" s="232"/>
      <c r="K76" s="170"/>
    </row>
    <row r="77" spans="2:11" ht="13.8">
      <c r="B77" s="251">
        <f t="shared" si="0"/>
        <v>58</v>
      </c>
      <c r="C77" s="174"/>
      <c r="D77" s="176" t="s">
        <v>1480</v>
      </c>
      <c r="E77" s="177"/>
      <c r="F77" s="177"/>
      <c r="G77" s="177"/>
      <c r="H77" s="177"/>
      <c r="I77" s="177"/>
      <c r="J77" s="177"/>
      <c r="K77" s="442"/>
    </row>
    <row r="78" spans="2:11" ht="13.8">
      <c r="B78" s="251">
        <f t="shared" si="0"/>
        <v>59</v>
      </c>
      <c r="C78" s="168"/>
      <c r="D78" s="176" t="s">
        <v>1481</v>
      </c>
      <c r="E78" s="175"/>
      <c r="F78" s="175"/>
      <c r="G78" s="175">
        <f>G60+G74</f>
        <v>0</v>
      </c>
      <c r="H78" s="175">
        <f>H60+H74</f>
        <v>0</v>
      </c>
      <c r="I78" s="175">
        <f>I60+I74</f>
        <v>0</v>
      </c>
      <c r="J78" s="175">
        <f>J60+J74</f>
        <v>0</v>
      </c>
      <c r="K78" s="443"/>
    </row>
    <row r="79" spans="2:11" ht="14.4" thickBot="1">
      <c r="B79" s="251">
        <f t="shared" si="0"/>
        <v>60</v>
      </c>
      <c r="C79" s="168"/>
      <c r="F79" s="175"/>
      <c r="G79" s="175"/>
      <c r="H79" s="175"/>
      <c r="I79" s="175"/>
      <c r="J79" s="175"/>
      <c r="K79" s="175"/>
    </row>
    <row r="80" spans="2:11" ht="14.4" thickBot="1">
      <c r="B80" s="251">
        <f t="shared" si="0"/>
        <v>61</v>
      </c>
      <c r="D80" s="176" t="s">
        <v>1340</v>
      </c>
      <c r="F80" s="175"/>
      <c r="G80" s="175"/>
      <c r="H80" s="175"/>
      <c r="I80" s="175"/>
      <c r="J80" s="511">
        <f>+Inputs!D202</f>
        <v>0</v>
      </c>
    </row>
    <row r="81" spans="1:11" ht="13.8">
      <c r="B81" s="251">
        <f t="shared" si="0"/>
        <v>62</v>
      </c>
      <c r="D81" s="176"/>
      <c r="E81" s="175"/>
      <c r="F81" s="175"/>
      <c r="G81" s="175"/>
      <c r="H81" s="175"/>
      <c r="I81" s="175"/>
      <c r="J81" s="175"/>
      <c r="K81" s="175"/>
    </row>
    <row r="82" spans="1:11" ht="16.8">
      <c r="B82" s="251">
        <f t="shared" si="0"/>
        <v>63</v>
      </c>
      <c r="C82" s="385"/>
      <c r="D82" s="259"/>
      <c r="E82" s="260"/>
      <c r="F82" s="260"/>
      <c r="G82" s="260"/>
      <c r="H82" s="260"/>
      <c r="I82" s="260"/>
      <c r="J82" s="260"/>
      <c r="K82" s="260"/>
    </row>
    <row r="83" spans="1:11" ht="13.8">
      <c r="B83" s="251">
        <f t="shared" si="0"/>
        <v>64</v>
      </c>
      <c r="C83" s="170"/>
      <c r="D83" s="170"/>
      <c r="E83" s="170"/>
      <c r="F83" s="170"/>
      <c r="G83" s="170"/>
      <c r="H83" s="170"/>
      <c r="I83" s="170"/>
      <c r="J83" s="170"/>
      <c r="K83" s="170"/>
    </row>
    <row r="84" spans="1:11" ht="13.8">
      <c r="B84" s="251">
        <f t="shared" si="0"/>
        <v>65</v>
      </c>
      <c r="C84" s="962" t="s">
        <v>1436</v>
      </c>
      <c r="D84" s="962"/>
      <c r="E84" s="962"/>
      <c r="F84" s="962"/>
      <c r="G84" s="962"/>
      <c r="H84" s="962"/>
    </row>
    <row r="85" spans="1:11" ht="13.8">
      <c r="B85" s="251">
        <f t="shared" si="0"/>
        <v>66</v>
      </c>
    </row>
    <row r="86" spans="1:11" ht="13.8">
      <c r="B86" s="251">
        <f t="shared" si="0"/>
        <v>67</v>
      </c>
      <c r="C86" s="962" t="s">
        <v>1437</v>
      </c>
      <c r="D86" s="962"/>
      <c r="E86" s="962"/>
      <c r="F86" s="962"/>
      <c r="G86" s="962"/>
      <c r="H86" s="962"/>
    </row>
    <row r="87" spans="1:11" ht="13.8">
      <c r="B87" s="251">
        <f>B86+1</f>
        <v>68</v>
      </c>
    </row>
    <row r="88" spans="1:11" ht="13.8">
      <c r="B88" s="251">
        <f>B87+1</f>
        <v>69</v>
      </c>
      <c r="C88" s="962" t="s">
        <v>1439</v>
      </c>
      <c r="D88" s="962"/>
      <c r="E88" s="962"/>
      <c r="F88" s="962"/>
      <c r="G88" s="962"/>
      <c r="H88" s="962"/>
    </row>
    <row r="89" spans="1:11" ht="13.8">
      <c r="B89" s="251">
        <f>B88+1</f>
        <v>70</v>
      </c>
    </row>
    <row r="90" spans="1:11" ht="13.8">
      <c r="B90" s="251">
        <f>B89+1</f>
        <v>71</v>
      </c>
      <c r="C90" s="962" t="s">
        <v>1440</v>
      </c>
      <c r="D90" s="962"/>
      <c r="E90" s="962"/>
      <c r="F90" s="962"/>
      <c r="G90" s="962"/>
      <c r="H90" s="962"/>
    </row>
    <row r="91" spans="1:11" ht="13.8">
      <c r="B91" s="251"/>
      <c r="C91" s="732"/>
      <c r="D91" s="732"/>
      <c r="E91" s="732"/>
      <c r="F91" s="732"/>
      <c r="G91" s="732"/>
      <c r="H91" s="732"/>
    </row>
    <row r="92" spans="1:11" ht="13.8">
      <c r="A92" s="953" t="s">
        <v>1341</v>
      </c>
      <c r="B92" s="953"/>
      <c r="C92" s="953"/>
      <c r="D92" s="953"/>
      <c r="E92" s="953"/>
      <c r="F92" s="953"/>
      <c r="G92" s="953"/>
      <c r="H92" s="953"/>
      <c r="I92" s="953"/>
      <c r="J92" s="953"/>
      <c r="K92" s="953"/>
    </row>
    <row r="93" spans="1:11" ht="13.8">
      <c r="A93" s="943" t="s">
        <v>504</v>
      </c>
      <c r="B93" s="943"/>
      <c r="C93" s="943"/>
      <c r="D93" s="943"/>
      <c r="E93" s="943"/>
      <c r="F93" s="943"/>
      <c r="G93" s="943"/>
      <c r="H93" s="943"/>
      <c r="I93" s="943"/>
      <c r="J93" s="943"/>
      <c r="K93" s="943"/>
    </row>
    <row r="152" spans="6:10">
      <c r="F152" s="829"/>
      <c r="G152" s="829"/>
      <c r="I152" s="829"/>
      <c r="J152" s="829"/>
    </row>
    <row r="153" spans="6:10">
      <c r="F153" s="829"/>
      <c r="G153" s="829"/>
      <c r="I153" s="829"/>
      <c r="J153" s="829"/>
    </row>
    <row r="154" spans="6:10">
      <c r="F154" s="830"/>
      <c r="G154" s="830"/>
      <c r="I154" s="830"/>
      <c r="J154" s="830"/>
    </row>
    <row r="155" spans="6:10">
      <c r="F155" s="829"/>
      <c r="G155" s="829"/>
      <c r="I155" s="829"/>
      <c r="J155" s="829"/>
    </row>
    <row r="157" spans="6:10">
      <c r="F157" s="831"/>
      <c r="G157" s="829"/>
      <c r="I157" s="831"/>
      <c r="J157" s="829"/>
    </row>
    <row r="158" spans="6:10">
      <c r="F158" s="832"/>
      <c r="I158" s="833"/>
    </row>
    <row r="160" spans="6:10">
      <c r="G160" s="829"/>
      <c r="J160" s="829"/>
    </row>
  </sheetData>
  <mergeCells count="9">
    <mergeCell ref="C90:H90"/>
    <mergeCell ref="A92:K92"/>
    <mergeCell ref="A93:K93"/>
    <mergeCell ref="A1:K1"/>
    <mergeCell ref="A2:K2"/>
    <mergeCell ref="C6:H6"/>
    <mergeCell ref="C84:H84"/>
    <mergeCell ref="C86:H86"/>
    <mergeCell ref="C88:H88"/>
  </mergeCells>
  <printOptions horizontalCentered="1"/>
  <pageMargins left="0.7" right="0.7" top="0.75" bottom="0.75" header="0.3" footer="0.3"/>
  <pageSetup scale="35" orientation="landscape" r:id="rId1"/>
  <headerFooter>
    <oddHeader>&amp;C&amp;"Arial,Bold"ADDENDUM 27 TO ATTACHMENT H, Page &amp;P of &amp;N
NorthWestern Corporation (South Dakota)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81"/>
  <sheetViews>
    <sheetView zoomScale="60" zoomScaleNormal="60" workbookViewId="0"/>
  </sheetViews>
  <sheetFormatPr defaultRowHeight="13.2"/>
  <cols>
    <col min="1" max="1" width="2" style="791" customWidth="1"/>
    <col min="2" max="2" width="5.6640625" style="791" customWidth="1"/>
    <col min="3" max="3" width="8.33203125" style="804" customWidth="1"/>
    <col min="4" max="4" width="51.33203125" style="791" customWidth="1"/>
    <col min="5" max="5" width="22.88671875" style="791" customWidth="1"/>
    <col min="6" max="7" width="16.6640625" style="791" customWidth="1"/>
    <col min="8" max="8" width="15.88671875" style="791" customWidth="1"/>
    <col min="9" max="9" width="14" style="791" customWidth="1"/>
    <col min="10" max="10" width="13.33203125" style="791" customWidth="1"/>
    <col min="11" max="12" width="19" style="791" customWidth="1"/>
    <col min="13" max="13" width="16.44140625" style="791" customWidth="1"/>
    <col min="14" max="14" width="13.44140625" style="791" customWidth="1"/>
    <col min="15" max="15" width="11.6640625" style="791" customWidth="1"/>
    <col min="16" max="16" width="12.6640625" style="791" customWidth="1"/>
    <col min="17" max="17" width="11.33203125" style="791" customWidth="1"/>
    <col min="18" max="18" width="27" style="791" bestFit="1" customWidth="1"/>
    <col min="19" max="256" width="9.109375" style="791"/>
    <col min="257" max="257" width="2" style="791" customWidth="1"/>
    <col min="258" max="258" width="5.6640625" style="791" customWidth="1"/>
    <col min="259" max="259" width="8.33203125" style="791" customWidth="1"/>
    <col min="260" max="260" width="51.33203125" style="791" customWidth="1"/>
    <col min="261" max="261" width="22.88671875" style="791" customWidth="1"/>
    <col min="262" max="263" width="16.6640625" style="791" customWidth="1"/>
    <col min="264" max="264" width="15.88671875" style="791" customWidth="1"/>
    <col min="265" max="265" width="14" style="791" customWidth="1"/>
    <col min="266" max="266" width="13.33203125" style="791" customWidth="1"/>
    <col min="267" max="268" width="19" style="791" customWidth="1"/>
    <col min="269" max="269" width="16.44140625" style="791" customWidth="1"/>
    <col min="270" max="270" width="13.44140625" style="791" customWidth="1"/>
    <col min="271" max="271" width="11.6640625" style="791" customWidth="1"/>
    <col min="272" max="272" width="12.6640625" style="791" customWidth="1"/>
    <col min="273" max="273" width="11.33203125" style="791" customWidth="1"/>
    <col min="274" max="274" width="27" style="791" bestFit="1" customWidth="1"/>
    <col min="275" max="512" width="9.109375" style="791"/>
    <col min="513" max="513" width="2" style="791" customWidth="1"/>
    <col min="514" max="514" width="5.6640625" style="791" customWidth="1"/>
    <col min="515" max="515" width="8.33203125" style="791" customWidth="1"/>
    <col min="516" max="516" width="51.33203125" style="791" customWidth="1"/>
    <col min="517" max="517" width="22.88671875" style="791" customWidth="1"/>
    <col min="518" max="519" width="16.6640625" style="791" customWidth="1"/>
    <col min="520" max="520" width="15.88671875" style="791" customWidth="1"/>
    <col min="521" max="521" width="14" style="791" customWidth="1"/>
    <col min="522" max="522" width="13.33203125" style="791" customWidth="1"/>
    <col min="523" max="524" width="19" style="791" customWidth="1"/>
    <col min="525" max="525" width="16.44140625" style="791" customWidth="1"/>
    <col min="526" max="526" width="13.44140625" style="791" customWidth="1"/>
    <col min="527" max="527" width="11.6640625" style="791" customWidth="1"/>
    <col min="528" max="528" width="12.6640625" style="791" customWidth="1"/>
    <col min="529" max="529" width="11.33203125" style="791" customWidth="1"/>
    <col min="530" max="530" width="27" style="791" bestFit="1" customWidth="1"/>
    <col min="531" max="768" width="9.109375" style="791"/>
    <col min="769" max="769" width="2" style="791" customWidth="1"/>
    <col min="770" max="770" width="5.6640625" style="791" customWidth="1"/>
    <col min="771" max="771" width="8.33203125" style="791" customWidth="1"/>
    <col min="772" max="772" width="51.33203125" style="791" customWidth="1"/>
    <col min="773" max="773" width="22.88671875" style="791" customWidth="1"/>
    <col min="774" max="775" width="16.6640625" style="791" customWidth="1"/>
    <col min="776" max="776" width="15.88671875" style="791" customWidth="1"/>
    <col min="777" max="777" width="14" style="791" customWidth="1"/>
    <col min="778" max="778" width="13.33203125" style="791" customWidth="1"/>
    <col min="779" max="780" width="19" style="791" customWidth="1"/>
    <col min="781" max="781" width="16.44140625" style="791" customWidth="1"/>
    <col min="782" max="782" width="13.44140625" style="791" customWidth="1"/>
    <col min="783" max="783" width="11.6640625" style="791" customWidth="1"/>
    <col min="784" max="784" width="12.6640625" style="791" customWidth="1"/>
    <col min="785" max="785" width="11.33203125" style="791" customWidth="1"/>
    <col min="786" max="786" width="27" style="791" bestFit="1" customWidth="1"/>
    <col min="787" max="1024" width="9.109375" style="791"/>
    <col min="1025" max="1025" width="2" style="791" customWidth="1"/>
    <col min="1026" max="1026" width="5.6640625" style="791" customWidth="1"/>
    <col min="1027" max="1027" width="8.33203125" style="791" customWidth="1"/>
    <col min="1028" max="1028" width="51.33203125" style="791" customWidth="1"/>
    <col min="1029" max="1029" width="22.88671875" style="791" customWidth="1"/>
    <col min="1030" max="1031" width="16.6640625" style="791" customWidth="1"/>
    <col min="1032" max="1032" width="15.88671875" style="791" customWidth="1"/>
    <col min="1033" max="1033" width="14" style="791" customWidth="1"/>
    <col min="1034" max="1034" width="13.33203125" style="791" customWidth="1"/>
    <col min="1035" max="1036" width="19" style="791" customWidth="1"/>
    <col min="1037" max="1037" width="16.44140625" style="791" customWidth="1"/>
    <col min="1038" max="1038" width="13.44140625" style="791" customWidth="1"/>
    <col min="1039" max="1039" width="11.6640625" style="791" customWidth="1"/>
    <col min="1040" max="1040" width="12.6640625" style="791" customWidth="1"/>
    <col min="1041" max="1041" width="11.33203125" style="791" customWidth="1"/>
    <col min="1042" max="1042" width="27" style="791" bestFit="1" customWidth="1"/>
    <col min="1043" max="1280" width="9.109375" style="791"/>
    <col min="1281" max="1281" width="2" style="791" customWidth="1"/>
    <col min="1282" max="1282" width="5.6640625" style="791" customWidth="1"/>
    <col min="1283" max="1283" width="8.33203125" style="791" customWidth="1"/>
    <col min="1284" max="1284" width="51.33203125" style="791" customWidth="1"/>
    <col min="1285" max="1285" width="22.88671875" style="791" customWidth="1"/>
    <col min="1286" max="1287" width="16.6640625" style="791" customWidth="1"/>
    <col min="1288" max="1288" width="15.88671875" style="791" customWidth="1"/>
    <col min="1289" max="1289" width="14" style="791" customWidth="1"/>
    <col min="1290" max="1290" width="13.33203125" style="791" customWidth="1"/>
    <col min="1291" max="1292" width="19" style="791" customWidth="1"/>
    <col min="1293" max="1293" width="16.44140625" style="791" customWidth="1"/>
    <col min="1294" max="1294" width="13.44140625" style="791" customWidth="1"/>
    <col min="1295" max="1295" width="11.6640625" style="791" customWidth="1"/>
    <col min="1296" max="1296" width="12.6640625" style="791" customWidth="1"/>
    <col min="1297" max="1297" width="11.33203125" style="791" customWidth="1"/>
    <col min="1298" max="1298" width="27" style="791" bestFit="1" customWidth="1"/>
    <col min="1299" max="1536" width="9.109375" style="791"/>
    <col min="1537" max="1537" width="2" style="791" customWidth="1"/>
    <col min="1538" max="1538" width="5.6640625" style="791" customWidth="1"/>
    <col min="1539" max="1539" width="8.33203125" style="791" customWidth="1"/>
    <col min="1540" max="1540" width="51.33203125" style="791" customWidth="1"/>
    <col min="1541" max="1541" width="22.88671875" style="791" customWidth="1"/>
    <col min="1542" max="1543" width="16.6640625" style="791" customWidth="1"/>
    <col min="1544" max="1544" width="15.88671875" style="791" customWidth="1"/>
    <col min="1545" max="1545" width="14" style="791" customWidth="1"/>
    <col min="1546" max="1546" width="13.33203125" style="791" customWidth="1"/>
    <col min="1547" max="1548" width="19" style="791" customWidth="1"/>
    <col min="1549" max="1549" width="16.44140625" style="791" customWidth="1"/>
    <col min="1550" max="1550" width="13.44140625" style="791" customWidth="1"/>
    <col min="1551" max="1551" width="11.6640625" style="791" customWidth="1"/>
    <col min="1552" max="1552" width="12.6640625" style="791" customWidth="1"/>
    <col min="1553" max="1553" width="11.33203125" style="791" customWidth="1"/>
    <col min="1554" max="1554" width="27" style="791" bestFit="1" customWidth="1"/>
    <col min="1555" max="1792" width="9.109375" style="791"/>
    <col min="1793" max="1793" width="2" style="791" customWidth="1"/>
    <col min="1794" max="1794" width="5.6640625" style="791" customWidth="1"/>
    <col min="1795" max="1795" width="8.33203125" style="791" customWidth="1"/>
    <col min="1796" max="1796" width="51.33203125" style="791" customWidth="1"/>
    <col min="1797" max="1797" width="22.88671875" style="791" customWidth="1"/>
    <col min="1798" max="1799" width="16.6640625" style="791" customWidth="1"/>
    <col min="1800" max="1800" width="15.88671875" style="791" customWidth="1"/>
    <col min="1801" max="1801" width="14" style="791" customWidth="1"/>
    <col min="1802" max="1802" width="13.33203125" style="791" customWidth="1"/>
    <col min="1803" max="1804" width="19" style="791" customWidth="1"/>
    <col min="1805" max="1805" width="16.44140625" style="791" customWidth="1"/>
    <col min="1806" max="1806" width="13.44140625" style="791" customWidth="1"/>
    <col min="1807" max="1807" width="11.6640625" style="791" customWidth="1"/>
    <col min="1808" max="1808" width="12.6640625" style="791" customWidth="1"/>
    <col min="1809" max="1809" width="11.33203125" style="791" customWidth="1"/>
    <col min="1810" max="1810" width="27" style="791" bestFit="1" customWidth="1"/>
    <col min="1811" max="2048" width="9.109375" style="791"/>
    <col min="2049" max="2049" width="2" style="791" customWidth="1"/>
    <col min="2050" max="2050" width="5.6640625" style="791" customWidth="1"/>
    <col min="2051" max="2051" width="8.33203125" style="791" customWidth="1"/>
    <col min="2052" max="2052" width="51.33203125" style="791" customWidth="1"/>
    <col min="2053" max="2053" width="22.88671875" style="791" customWidth="1"/>
    <col min="2054" max="2055" width="16.6640625" style="791" customWidth="1"/>
    <col min="2056" max="2056" width="15.88671875" style="791" customWidth="1"/>
    <col min="2057" max="2057" width="14" style="791" customWidth="1"/>
    <col min="2058" max="2058" width="13.33203125" style="791" customWidth="1"/>
    <col min="2059" max="2060" width="19" style="791" customWidth="1"/>
    <col min="2061" max="2061" width="16.44140625" style="791" customWidth="1"/>
    <col min="2062" max="2062" width="13.44140625" style="791" customWidth="1"/>
    <col min="2063" max="2063" width="11.6640625" style="791" customWidth="1"/>
    <col min="2064" max="2064" width="12.6640625" style="791" customWidth="1"/>
    <col min="2065" max="2065" width="11.33203125" style="791" customWidth="1"/>
    <col min="2066" max="2066" width="27" style="791" bestFit="1" customWidth="1"/>
    <col min="2067" max="2304" width="9.109375" style="791"/>
    <col min="2305" max="2305" width="2" style="791" customWidth="1"/>
    <col min="2306" max="2306" width="5.6640625" style="791" customWidth="1"/>
    <col min="2307" max="2307" width="8.33203125" style="791" customWidth="1"/>
    <col min="2308" max="2308" width="51.33203125" style="791" customWidth="1"/>
    <col min="2309" max="2309" width="22.88671875" style="791" customWidth="1"/>
    <col min="2310" max="2311" width="16.6640625" style="791" customWidth="1"/>
    <col min="2312" max="2312" width="15.88671875" style="791" customWidth="1"/>
    <col min="2313" max="2313" width="14" style="791" customWidth="1"/>
    <col min="2314" max="2314" width="13.33203125" style="791" customWidth="1"/>
    <col min="2315" max="2316" width="19" style="791" customWidth="1"/>
    <col min="2317" max="2317" width="16.44140625" style="791" customWidth="1"/>
    <col min="2318" max="2318" width="13.44140625" style="791" customWidth="1"/>
    <col min="2319" max="2319" width="11.6640625" style="791" customWidth="1"/>
    <col min="2320" max="2320" width="12.6640625" style="791" customWidth="1"/>
    <col min="2321" max="2321" width="11.33203125" style="791" customWidth="1"/>
    <col min="2322" max="2322" width="27" style="791" bestFit="1" customWidth="1"/>
    <col min="2323" max="2560" width="9.109375" style="791"/>
    <col min="2561" max="2561" width="2" style="791" customWidth="1"/>
    <col min="2562" max="2562" width="5.6640625" style="791" customWidth="1"/>
    <col min="2563" max="2563" width="8.33203125" style="791" customWidth="1"/>
    <col min="2564" max="2564" width="51.33203125" style="791" customWidth="1"/>
    <col min="2565" max="2565" width="22.88671875" style="791" customWidth="1"/>
    <col min="2566" max="2567" width="16.6640625" style="791" customWidth="1"/>
    <col min="2568" max="2568" width="15.88671875" style="791" customWidth="1"/>
    <col min="2569" max="2569" width="14" style="791" customWidth="1"/>
    <col min="2570" max="2570" width="13.33203125" style="791" customWidth="1"/>
    <col min="2571" max="2572" width="19" style="791" customWidth="1"/>
    <col min="2573" max="2573" width="16.44140625" style="791" customWidth="1"/>
    <col min="2574" max="2574" width="13.44140625" style="791" customWidth="1"/>
    <col min="2575" max="2575" width="11.6640625" style="791" customWidth="1"/>
    <col min="2576" max="2576" width="12.6640625" style="791" customWidth="1"/>
    <col min="2577" max="2577" width="11.33203125" style="791" customWidth="1"/>
    <col min="2578" max="2578" width="27" style="791" bestFit="1" customWidth="1"/>
    <col min="2579" max="2816" width="9.109375" style="791"/>
    <col min="2817" max="2817" width="2" style="791" customWidth="1"/>
    <col min="2818" max="2818" width="5.6640625" style="791" customWidth="1"/>
    <col min="2819" max="2819" width="8.33203125" style="791" customWidth="1"/>
    <col min="2820" max="2820" width="51.33203125" style="791" customWidth="1"/>
    <col min="2821" max="2821" width="22.88671875" style="791" customWidth="1"/>
    <col min="2822" max="2823" width="16.6640625" style="791" customWidth="1"/>
    <col min="2824" max="2824" width="15.88671875" style="791" customWidth="1"/>
    <col min="2825" max="2825" width="14" style="791" customWidth="1"/>
    <col min="2826" max="2826" width="13.33203125" style="791" customWidth="1"/>
    <col min="2827" max="2828" width="19" style="791" customWidth="1"/>
    <col min="2829" max="2829" width="16.44140625" style="791" customWidth="1"/>
    <col min="2830" max="2830" width="13.44140625" style="791" customWidth="1"/>
    <col min="2831" max="2831" width="11.6640625" style="791" customWidth="1"/>
    <col min="2832" max="2832" width="12.6640625" style="791" customWidth="1"/>
    <col min="2833" max="2833" width="11.33203125" style="791" customWidth="1"/>
    <col min="2834" max="2834" width="27" style="791" bestFit="1" customWidth="1"/>
    <col min="2835" max="3072" width="9.109375" style="791"/>
    <col min="3073" max="3073" width="2" style="791" customWidth="1"/>
    <col min="3074" max="3074" width="5.6640625" style="791" customWidth="1"/>
    <col min="3075" max="3075" width="8.33203125" style="791" customWidth="1"/>
    <col min="3076" max="3076" width="51.33203125" style="791" customWidth="1"/>
    <col min="3077" max="3077" width="22.88671875" style="791" customWidth="1"/>
    <col min="3078" max="3079" width="16.6640625" style="791" customWidth="1"/>
    <col min="3080" max="3080" width="15.88671875" style="791" customWidth="1"/>
    <col min="3081" max="3081" width="14" style="791" customWidth="1"/>
    <col min="3082" max="3082" width="13.33203125" style="791" customWidth="1"/>
    <col min="3083" max="3084" width="19" style="791" customWidth="1"/>
    <col min="3085" max="3085" width="16.44140625" style="791" customWidth="1"/>
    <col min="3086" max="3086" width="13.44140625" style="791" customWidth="1"/>
    <col min="3087" max="3087" width="11.6640625" style="791" customWidth="1"/>
    <col min="3088" max="3088" width="12.6640625" style="791" customWidth="1"/>
    <col min="3089" max="3089" width="11.33203125" style="791" customWidth="1"/>
    <col min="3090" max="3090" width="27" style="791" bestFit="1" customWidth="1"/>
    <col min="3091" max="3328" width="9.109375" style="791"/>
    <col min="3329" max="3329" width="2" style="791" customWidth="1"/>
    <col min="3330" max="3330" width="5.6640625" style="791" customWidth="1"/>
    <col min="3331" max="3331" width="8.33203125" style="791" customWidth="1"/>
    <col min="3332" max="3332" width="51.33203125" style="791" customWidth="1"/>
    <col min="3333" max="3333" width="22.88671875" style="791" customWidth="1"/>
    <col min="3334" max="3335" width="16.6640625" style="791" customWidth="1"/>
    <col min="3336" max="3336" width="15.88671875" style="791" customWidth="1"/>
    <col min="3337" max="3337" width="14" style="791" customWidth="1"/>
    <col min="3338" max="3338" width="13.33203125" style="791" customWidth="1"/>
    <col min="3339" max="3340" width="19" style="791" customWidth="1"/>
    <col min="3341" max="3341" width="16.44140625" style="791" customWidth="1"/>
    <col min="3342" max="3342" width="13.44140625" style="791" customWidth="1"/>
    <col min="3343" max="3343" width="11.6640625" style="791" customWidth="1"/>
    <col min="3344" max="3344" width="12.6640625" style="791" customWidth="1"/>
    <col min="3345" max="3345" width="11.33203125" style="791" customWidth="1"/>
    <col min="3346" max="3346" width="27" style="791" bestFit="1" customWidth="1"/>
    <col min="3347" max="3584" width="9.109375" style="791"/>
    <col min="3585" max="3585" width="2" style="791" customWidth="1"/>
    <col min="3586" max="3586" width="5.6640625" style="791" customWidth="1"/>
    <col min="3587" max="3587" width="8.33203125" style="791" customWidth="1"/>
    <col min="3588" max="3588" width="51.33203125" style="791" customWidth="1"/>
    <col min="3589" max="3589" width="22.88671875" style="791" customWidth="1"/>
    <col min="3590" max="3591" width="16.6640625" style="791" customWidth="1"/>
    <col min="3592" max="3592" width="15.88671875" style="791" customWidth="1"/>
    <col min="3593" max="3593" width="14" style="791" customWidth="1"/>
    <col min="3594" max="3594" width="13.33203125" style="791" customWidth="1"/>
    <col min="3595" max="3596" width="19" style="791" customWidth="1"/>
    <col min="3597" max="3597" width="16.44140625" style="791" customWidth="1"/>
    <col min="3598" max="3598" width="13.44140625" style="791" customWidth="1"/>
    <col min="3599" max="3599" width="11.6640625" style="791" customWidth="1"/>
    <col min="3600" max="3600" width="12.6640625" style="791" customWidth="1"/>
    <col min="3601" max="3601" width="11.33203125" style="791" customWidth="1"/>
    <col min="3602" max="3602" width="27" style="791" bestFit="1" customWidth="1"/>
    <col min="3603" max="3840" width="9.109375" style="791"/>
    <col min="3841" max="3841" width="2" style="791" customWidth="1"/>
    <col min="3842" max="3842" width="5.6640625" style="791" customWidth="1"/>
    <col min="3843" max="3843" width="8.33203125" style="791" customWidth="1"/>
    <col min="3844" max="3844" width="51.33203125" style="791" customWidth="1"/>
    <col min="3845" max="3845" width="22.88671875" style="791" customWidth="1"/>
    <col min="3846" max="3847" width="16.6640625" style="791" customWidth="1"/>
    <col min="3848" max="3848" width="15.88671875" style="791" customWidth="1"/>
    <col min="3849" max="3849" width="14" style="791" customWidth="1"/>
    <col min="3850" max="3850" width="13.33203125" style="791" customWidth="1"/>
    <col min="3851" max="3852" width="19" style="791" customWidth="1"/>
    <col min="3853" max="3853" width="16.44140625" style="791" customWidth="1"/>
    <col min="3854" max="3854" width="13.44140625" style="791" customWidth="1"/>
    <col min="3855" max="3855" width="11.6640625" style="791" customWidth="1"/>
    <col min="3856" max="3856" width="12.6640625" style="791" customWidth="1"/>
    <col min="3857" max="3857" width="11.33203125" style="791" customWidth="1"/>
    <col min="3858" max="3858" width="27" style="791" bestFit="1" customWidth="1"/>
    <col min="3859" max="4096" width="9.109375" style="791"/>
    <col min="4097" max="4097" width="2" style="791" customWidth="1"/>
    <col min="4098" max="4098" width="5.6640625" style="791" customWidth="1"/>
    <col min="4099" max="4099" width="8.33203125" style="791" customWidth="1"/>
    <col min="4100" max="4100" width="51.33203125" style="791" customWidth="1"/>
    <col min="4101" max="4101" width="22.88671875" style="791" customWidth="1"/>
    <col min="4102" max="4103" width="16.6640625" style="791" customWidth="1"/>
    <col min="4104" max="4104" width="15.88671875" style="791" customWidth="1"/>
    <col min="4105" max="4105" width="14" style="791" customWidth="1"/>
    <col min="4106" max="4106" width="13.33203125" style="791" customWidth="1"/>
    <col min="4107" max="4108" width="19" style="791" customWidth="1"/>
    <col min="4109" max="4109" width="16.44140625" style="791" customWidth="1"/>
    <col min="4110" max="4110" width="13.44140625" style="791" customWidth="1"/>
    <col min="4111" max="4111" width="11.6640625" style="791" customWidth="1"/>
    <col min="4112" max="4112" width="12.6640625" style="791" customWidth="1"/>
    <col min="4113" max="4113" width="11.33203125" style="791" customWidth="1"/>
    <col min="4114" max="4114" width="27" style="791" bestFit="1" customWidth="1"/>
    <col min="4115" max="4352" width="9.109375" style="791"/>
    <col min="4353" max="4353" width="2" style="791" customWidth="1"/>
    <col min="4354" max="4354" width="5.6640625" style="791" customWidth="1"/>
    <col min="4355" max="4355" width="8.33203125" style="791" customWidth="1"/>
    <col min="4356" max="4356" width="51.33203125" style="791" customWidth="1"/>
    <col min="4357" max="4357" width="22.88671875" style="791" customWidth="1"/>
    <col min="4358" max="4359" width="16.6640625" style="791" customWidth="1"/>
    <col min="4360" max="4360" width="15.88671875" style="791" customWidth="1"/>
    <col min="4361" max="4361" width="14" style="791" customWidth="1"/>
    <col min="4362" max="4362" width="13.33203125" style="791" customWidth="1"/>
    <col min="4363" max="4364" width="19" style="791" customWidth="1"/>
    <col min="4365" max="4365" width="16.44140625" style="791" customWidth="1"/>
    <col min="4366" max="4366" width="13.44140625" style="791" customWidth="1"/>
    <col min="4367" max="4367" width="11.6640625" style="791" customWidth="1"/>
    <col min="4368" max="4368" width="12.6640625" style="791" customWidth="1"/>
    <col min="4369" max="4369" width="11.33203125" style="791" customWidth="1"/>
    <col min="4370" max="4370" width="27" style="791" bestFit="1" customWidth="1"/>
    <col min="4371" max="4608" width="9.109375" style="791"/>
    <col min="4609" max="4609" width="2" style="791" customWidth="1"/>
    <col min="4610" max="4610" width="5.6640625" style="791" customWidth="1"/>
    <col min="4611" max="4611" width="8.33203125" style="791" customWidth="1"/>
    <col min="4612" max="4612" width="51.33203125" style="791" customWidth="1"/>
    <col min="4613" max="4613" width="22.88671875" style="791" customWidth="1"/>
    <col min="4614" max="4615" width="16.6640625" style="791" customWidth="1"/>
    <col min="4616" max="4616" width="15.88671875" style="791" customWidth="1"/>
    <col min="4617" max="4617" width="14" style="791" customWidth="1"/>
    <col min="4618" max="4618" width="13.33203125" style="791" customWidth="1"/>
    <col min="4619" max="4620" width="19" style="791" customWidth="1"/>
    <col min="4621" max="4621" width="16.44140625" style="791" customWidth="1"/>
    <col min="4622" max="4622" width="13.44140625" style="791" customWidth="1"/>
    <col min="4623" max="4623" width="11.6640625" style="791" customWidth="1"/>
    <col min="4624" max="4624" width="12.6640625" style="791" customWidth="1"/>
    <col min="4625" max="4625" width="11.33203125" style="791" customWidth="1"/>
    <col min="4626" max="4626" width="27" style="791" bestFit="1" customWidth="1"/>
    <col min="4627" max="4864" width="9.109375" style="791"/>
    <col min="4865" max="4865" width="2" style="791" customWidth="1"/>
    <col min="4866" max="4866" width="5.6640625" style="791" customWidth="1"/>
    <col min="4867" max="4867" width="8.33203125" style="791" customWidth="1"/>
    <col min="4868" max="4868" width="51.33203125" style="791" customWidth="1"/>
    <col min="4869" max="4869" width="22.88671875" style="791" customWidth="1"/>
    <col min="4870" max="4871" width="16.6640625" style="791" customWidth="1"/>
    <col min="4872" max="4872" width="15.88671875" style="791" customWidth="1"/>
    <col min="4873" max="4873" width="14" style="791" customWidth="1"/>
    <col min="4874" max="4874" width="13.33203125" style="791" customWidth="1"/>
    <col min="4875" max="4876" width="19" style="791" customWidth="1"/>
    <col min="4877" max="4877" width="16.44140625" style="791" customWidth="1"/>
    <col min="4878" max="4878" width="13.44140625" style="791" customWidth="1"/>
    <col min="4879" max="4879" width="11.6640625" style="791" customWidth="1"/>
    <col min="4880" max="4880" width="12.6640625" style="791" customWidth="1"/>
    <col min="4881" max="4881" width="11.33203125" style="791" customWidth="1"/>
    <col min="4882" max="4882" width="27" style="791" bestFit="1" customWidth="1"/>
    <col min="4883" max="5120" width="9.109375" style="791"/>
    <col min="5121" max="5121" width="2" style="791" customWidth="1"/>
    <col min="5122" max="5122" width="5.6640625" style="791" customWidth="1"/>
    <col min="5123" max="5123" width="8.33203125" style="791" customWidth="1"/>
    <col min="5124" max="5124" width="51.33203125" style="791" customWidth="1"/>
    <col min="5125" max="5125" width="22.88671875" style="791" customWidth="1"/>
    <col min="5126" max="5127" width="16.6640625" style="791" customWidth="1"/>
    <col min="5128" max="5128" width="15.88671875" style="791" customWidth="1"/>
    <col min="5129" max="5129" width="14" style="791" customWidth="1"/>
    <col min="5130" max="5130" width="13.33203125" style="791" customWidth="1"/>
    <col min="5131" max="5132" width="19" style="791" customWidth="1"/>
    <col min="5133" max="5133" width="16.44140625" style="791" customWidth="1"/>
    <col min="5134" max="5134" width="13.44140625" style="791" customWidth="1"/>
    <col min="5135" max="5135" width="11.6640625" style="791" customWidth="1"/>
    <col min="5136" max="5136" width="12.6640625" style="791" customWidth="1"/>
    <col min="5137" max="5137" width="11.33203125" style="791" customWidth="1"/>
    <col min="5138" max="5138" width="27" style="791" bestFit="1" customWidth="1"/>
    <col min="5139" max="5376" width="9.109375" style="791"/>
    <col min="5377" max="5377" width="2" style="791" customWidth="1"/>
    <col min="5378" max="5378" width="5.6640625" style="791" customWidth="1"/>
    <col min="5379" max="5379" width="8.33203125" style="791" customWidth="1"/>
    <col min="5380" max="5380" width="51.33203125" style="791" customWidth="1"/>
    <col min="5381" max="5381" width="22.88671875" style="791" customWidth="1"/>
    <col min="5382" max="5383" width="16.6640625" style="791" customWidth="1"/>
    <col min="5384" max="5384" width="15.88671875" style="791" customWidth="1"/>
    <col min="5385" max="5385" width="14" style="791" customWidth="1"/>
    <col min="5386" max="5386" width="13.33203125" style="791" customWidth="1"/>
    <col min="5387" max="5388" width="19" style="791" customWidth="1"/>
    <col min="5389" max="5389" width="16.44140625" style="791" customWidth="1"/>
    <col min="5390" max="5390" width="13.44140625" style="791" customWidth="1"/>
    <col min="5391" max="5391" width="11.6640625" style="791" customWidth="1"/>
    <col min="5392" max="5392" width="12.6640625" style="791" customWidth="1"/>
    <col min="5393" max="5393" width="11.33203125" style="791" customWidth="1"/>
    <col min="5394" max="5394" width="27" style="791" bestFit="1" customWidth="1"/>
    <col min="5395" max="5632" width="9.109375" style="791"/>
    <col min="5633" max="5633" width="2" style="791" customWidth="1"/>
    <col min="5634" max="5634" width="5.6640625" style="791" customWidth="1"/>
    <col min="5635" max="5635" width="8.33203125" style="791" customWidth="1"/>
    <col min="5636" max="5636" width="51.33203125" style="791" customWidth="1"/>
    <col min="5637" max="5637" width="22.88671875" style="791" customWidth="1"/>
    <col min="5638" max="5639" width="16.6640625" style="791" customWidth="1"/>
    <col min="5640" max="5640" width="15.88671875" style="791" customWidth="1"/>
    <col min="5641" max="5641" width="14" style="791" customWidth="1"/>
    <col min="5642" max="5642" width="13.33203125" style="791" customWidth="1"/>
    <col min="5643" max="5644" width="19" style="791" customWidth="1"/>
    <col min="5645" max="5645" width="16.44140625" style="791" customWidth="1"/>
    <col min="5646" max="5646" width="13.44140625" style="791" customWidth="1"/>
    <col min="5647" max="5647" width="11.6640625" style="791" customWidth="1"/>
    <col min="5648" max="5648" width="12.6640625" style="791" customWidth="1"/>
    <col min="5649" max="5649" width="11.33203125" style="791" customWidth="1"/>
    <col min="5650" max="5650" width="27" style="791" bestFit="1" customWidth="1"/>
    <col min="5651" max="5888" width="9.109375" style="791"/>
    <col min="5889" max="5889" width="2" style="791" customWidth="1"/>
    <col min="5890" max="5890" width="5.6640625" style="791" customWidth="1"/>
    <col min="5891" max="5891" width="8.33203125" style="791" customWidth="1"/>
    <col min="5892" max="5892" width="51.33203125" style="791" customWidth="1"/>
    <col min="5893" max="5893" width="22.88671875" style="791" customWidth="1"/>
    <col min="5894" max="5895" width="16.6640625" style="791" customWidth="1"/>
    <col min="5896" max="5896" width="15.88671875" style="791" customWidth="1"/>
    <col min="5897" max="5897" width="14" style="791" customWidth="1"/>
    <col min="5898" max="5898" width="13.33203125" style="791" customWidth="1"/>
    <col min="5899" max="5900" width="19" style="791" customWidth="1"/>
    <col min="5901" max="5901" width="16.44140625" style="791" customWidth="1"/>
    <col min="5902" max="5902" width="13.44140625" style="791" customWidth="1"/>
    <col min="5903" max="5903" width="11.6640625" style="791" customWidth="1"/>
    <col min="5904" max="5904" width="12.6640625" style="791" customWidth="1"/>
    <col min="5905" max="5905" width="11.33203125" style="791" customWidth="1"/>
    <col min="5906" max="5906" width="27" style="791" bestFit="1" customWidth="1"/>
    <col min="5907" max="6144" width="9.109375" style="791"/>
    <col min="6145" max="6145" width="2" style="791" customWidth="1"/>
    <col min="6146" max="6146" width="5.6640625" style="791" customWidth="1"/>
    <col min="6147" max="6147" width="8.33203125" style="791" customWidth="1"/>
    <col min="6148" max="6148" width="51.33203125" style="791" customWidth="1"/>
    <col min="6149" max="6149" width="22.88671875" style="791" customWidth="1"/>
    <col min="6150" max="6151" width="16.6640625" style="791" customWidth="1"/>
    <col min="6152" max="6152" width="15.88671875" style="791" customWidth="1"/>
    <col min="6153" max="6153" width="14" style="791" customWidth="1"/>
    <col min="6154" max="6154" width="13.33203125" style="791" customWidth="1"/>
    <col min="6155" max="6156" width="19" style="791" customWidth="1"/>
    <col min="6157" max="6157" width="16.44140625" style="791" customWidth="1"/>
    <col min="6158" max="6158" width="13.44140625" style="791" customWidth="1"/>
    <col min="6159" max="6159" width="11.6640625" style="791" customWidth="1"/>
    <col min="6160" max="6160" width="12.6640625" style="791" customWidth="1"/>
    <col min="6161" max="6161" width="11.33203125" style="791" customWidth="1"/>
    <col min="6162" max="6162" width="27" style="791" bestFit="1" customWidth="1"/>
    <col min="6163" max="6400" width="9.109375" style="791"/>
    <col min="6401" max="6401" width="2" style="791" customWidth="1"/>
    <col min="6402" max="6402" width="5.6640625" style="791" customWidth="1"/>
    <col min="6403" max="6403" width="8.33203125" style="791" customWidth="1"/>
    <col min="6404" max="6404" width="51.33203125" style="791" customWidth="1"/>
    <col min="6405" max="6405" width="22.88671875" style="791" customWidth="1"/>
    <col min="6406" max="6407" width="16.6640625" style="791" customWidth="1"/>
    <col min="6408" max="6408" width="15.88671875" style="791" customWidth="1"/>
    <col min="6409" max="6409" width="14" style="791" customWidth="1"/>
    <col min="6410" max="6410" width="13.33203125" style="791" customWidth="1"/>
    <col min="6411" max="6412" width="19" style="791" customWidth="1"/>
    <col min="6413" max="6413" width="16.44140625" style="791" customWidth="1"/>
    <col min="6414" max="6414" width="13.44140625" style="791" customWidth="1"/>
    <col min="6415" max="6415" width="11.6640625" style="791" customWidth="1"/>
    <col min="6416" max="6416" width="12.6640625" style="791" customWidth="1"/>
    <col min="6417" max="6417" width="11.33203125" style="791" customWidth="1"/>
    <col min="6418" max="6418" width="27" style="791" bestFit="1" customWidth="1"/>
    <col min="6419" max="6656" width="9.109375" style="791"/>
    <col min="6657" max="6657" width="2" style="791" customWidth="1"/>
    <col min="6658" max="6658" width="5.6640625" style="791" customWidth="1"/>
    <col min="6659" max="6659" width="8.33203125" style="791" customWidth="1"/>
    <col min="6660" max="6660" width="51.33203125" style="791" customWidth="1"/>
    <col min="6661" max="6661" width="22.88671875" style="791" customWidth="1"/>
    <col min="6662" max="6663" width="16.6640625" style="791" customWidth="1"/>
    <col min="6664" max="6664" width="15.88671875" style="791" customWidth="1"/>
    <col min="6665" max="6665" width="14" style="791" customWidth="1"/>
    <col min="6666" max="6666" width="13.33203125" style="791" customWidth="1"/>
    <col min="6667" max="6668" width="19" style="791" customWidth="1"/>
    <col min="6669" max="6669" width="16.44140625" style="791" customWidth="1"/>
    <col min="6670" max="6670" width="13.44140625" style="791" customWidth="1"/>
    <col min="6671" max="6671" width="11.6640625" style="791" customWidth="1"/>
    <col min="6672" max="6672" width="12.6640625" style="791" customWidth="1"/>
    <col min="6673" max="6673" width="11.33203125" style="791" customWidth="1"/>
    <col min="6674" max="6674" width="27" style="791" bestFit="1" customWidth="1"/>
    <col min="6675" max="6912" width="9.109375" style="791"/>
    <col min="6913" max="6913" width="2" style="791" customWidth="1"/>
    <col min="6914" max="6914" width="5.6640625" style="791" customWidth="1"/>
    <col min="6915" max="6915" width="8.33203125" style="791" customWidth="1"/>
    <col min="6916" max="6916" width="51.33203125" style="791" customWidth="1"/>
    <col min="6917" max="6917" width="22.88671875" style="791" customWidth="1"/>
    <col min="6918" max="6919" width="16.6640625" style="791" customWidth="1"/>
    <col min="6920" max="6920" width="15.88671875" style="791" customWidth="1"/>
    <col min="6921" max="6921" width="14" style="791" customWidth="1"/>
    <col min="6922" max="6922" width="13.33203125" style="791" customWidth="1"/>
    <col min="6923" max="6924" width="19" style="791" customWidth="1"/>
    <col min="6925" max="6925" width="16.44140625" style="791" customWidth="1"/>
    <col min="6926" max="6926" width="13.44140625" style="791" customWidth="1"/>
    <col min="6927" max="6927" width="11.6640625" style="791" customWidth="1"/>
    <col min="6928" max="6928" width="12.6640625" style="791" customWidth="1"/>
    <col min="6929" max="6929" width="11.33203125" style="791" customWidth="1"/>
    <col min="6930" max="6930" width="27" style="791" bestFit="1" customWidth="1"/>
    <col min="6931" max="7168" width="9.109375" style="791"/>
    <col min="7169" max="7169" width="2" style="791" customWidth="1"/>
    <col min="7170" max="7170" width="5.6640625" style="791" customWidth="1"/>
    <col min="7171" max="7171" width="8.33203125" style="791" customWidth="1"/>
    <col min="7172" max="7172" width="51.33203125" style="791" customWidth="1"/>
    <col min="7173" max="7173" width="22.88671875" style="791" customWidth="1"/>
    <col min="7174" max="7175" width="16.6640625" style="791" customWidth="1"/>
    <col min="7176" max="7176" width="15.88671875" style="791" customWidth="1"/>
    <col min="7177" max="7177" width="14" style="791" customWidth="1"/>
    <col min="7178" max="7178" width="13.33203125" style="791" customWidth="1"/>
    <col min="7179" max="7180" width="19" style="791" customWidth="1"/>
    <col min="7181" max="7181" width="16.44140625" style="791" customWidth="1"/>
    <col min="7182" max="7182" width="13.44140625" style="791" customWidth="1"/>
    <col min="7183" max="7183" width="11.6640625" style="791" customWidth="1"/>
    <col min="7184" max="7184" width="12.6640625" style="791" customWidth="1"/>
    <col min="7185" max="7185" width="11.33203125" style="791" customWidth="1"/>
    <col min="7186" max="7186" width="27" style="791" bestFit="1" customWidth="1"/>
    <col min="7187" max="7424" width="9.109375" style="791"/>
    <col min="7425" max="7425" width="2" style="791" customWidth="1"/>
    <col min="7426" max="7426" width="5.6640625" style="791" customWidth="1"/>
    <col min="7427" max="7427" width="8.33203125" style="791" customWidth="1"/>
    <col min="7428" max="7428" width="51.33203125" style="791" customWidth="1"/>
    <col min="7429" max="7429" width="22.88671875" style="791" customWidth="1"/>
    <col min="7430" max="7431" width="16.6640625" style="791" customWidth="1"/>
    <col min="7432" max="7432" width="15.88671875" style="791" customWidth="1"/>
    <col min="7433" max="7433" width="14" style="791" customWidth="1"/>
    <col min="7434" max="7434" width="13.33203125" style="791" customWidth="1"/>
    <col min="7435" max="7436" width="19" style="791" customWidth="1"/>
    <col min="7437" max="7437" width="16.44140625" style="791" customWidth="1"/>
    <col min="7438" max="7438" width="13.44140625" style="791" customWidth="1"/>
    <col min="7439" max="7439" width="11.6640625" style="791" customWidth="1"/>
    <col min="7440" max="7440" width="12.6640625" style="791" customWidth="1"/>
    <col min="7441" max="7441" width="11.33203125" style="791" customWidth="1"/>
    <col min="7442" max="7442" width="27" style="791" bestFit="1" customWidth="1"/>
    <col min="7443" max="7680" width="9.109375" style="791"/>
    <col min="7681" max="7681" width="2" style="791" customWidth="1"/>
    <col min="7682" max="7682" width="5.6640625" style="791" customWidth="1"/>
    <col min="7683" max="7683" width="8.33203125" style="791" customWidth="1"/>
    <col min="7684" max="7684" width="51.33203125" style="791" customWidth="1"/>
    <col min="7685" max="7685" width="22.88671875" style="791" customWidth="1"/>
    <col min="7686" max="7687" width="16.6640625" style="791" customWidth="1"/>
    <col min="7688" max="7688" width="15.88671875" style="791" customWidth="1"/>
    <col min="7689" max="7689" width="14" style="791" customWidth="1"/>
    <col min="7690" max="7690" width="13.33203125" style="791" customWidth="1"/>
    <col min="7691" max="7692" width="19" style="791" customWidth="1"/>
    <col min="7693" max="7693" width="16.44140625" style="791" customWidth="1"/>
    <col min="7694" max="7694" width="13.44140625" style="791" customWidth="1"/>
    <col min="7695" max="7695" width="11.6640625" style="791" customWidth="1"/>
    <col min="7696" max="7696" width="12.6640625" style="791" customWidth="1"/>
    <col min="7697" max="7697" width="11.33203125" style="791" customWidth="1"/>
    <col min="7698" max="7698" width="27" style="791" bestFit="1" customWidth="1"/>
    <col min="7699" max="7936" width="9.109375" style="791"/>
    <col min="7937" max="7937" width="2" style="791" customWidth="1"/>
    <col min="7938" max="7938" width="5.6640625" style="791" customWidth="1"/>
    <col min="7939" max="7939" width="8.33203125" style="791" customWidth="1"/>
    <col min="7940" max="7940" width="51.33203125" style="791" customWidth="1"/>
    <col min="7941" max="7941" width="22.88671875" style="791" customWidth="1"/>
    <col min="7942" max="7943" width="16.6640625" style="791" customWidth="1"/>
    <col min="7944" max="7944" width="15.88671875" style="791" customWidth="1"/>
    <col min="7945" max="7945" width="14" style="791" customWidth="1"/>
    <col min="7946" max="7946" width="13.33203125" style="791" customWidth="1"/>
    <col min="7947" max="7948" width="19" style="791" customWidth="1"/>
    <col min="7949" max="7949" width="16.44140625" style="791" customWidth="1"/>
    <col min="7950" max="7950" width="13.44140625" style="791" customWidth="1"/>
    <col min="7951" max="7951" width="11.6640625" style="791" customWidth="1"/>
    <col min="7952" max="7952" width="12.6640625" style="791" customWidth="1"/>
    <col min="7953" max="7953" width="11.33203125" style="791" customWidth="1"/>
    <col min="7954" max="7954" width="27" style="791" bestFit="1" customWidth="1"/>
    <col min="7955" max="8192" width="9.109375" style="791"/>
    <col min="8193" max="8193" width="2" style="791" customWidth="1"/>
    <col min="8194" max="8194" width="5.6640625" style="791" customWidth="1"/>
    <col min="8195" max="8195" width="8.33203125" style="791" customWidth="1"/>
    <col min="8196" max="8196" width="51.33203125" style="791" customWidth="1"/>
    <col min="8197" max="8197" width="22.88671875" style="791" customWidth="1"/>
    <col min="8198" max="8199" width="16.6640625" style="791" customWidth="1"/>
    <col min="8200" max="8200" width="15.88671875" style="791" customWidth="1"/>
    <col min="8201" max="8201" width="14" style="791" customWidth="1"/>
    <col min="8202" max="8202" width="13.33203125" style="791" customWidth="1"/>
    <col min="8203" max="8204" width="19" style="791" customWidth="1"/>
    <col min="8205" max="8205" width="16.44140625" style="791" customWidth="1"/>
    <col min="8206" max="8206" width="13.44140625" style="791" customWidth="1"/>
    <col min="8207" max="8207" width="11.6640625" style="791" customWidth="1"/>
    <col min="8208" max="8208" width="12.6640625" style="791" customWidth="1"/>
    <col min="8209" max="8209" width="11.33203125" style="791" customWidth="1"/>
    <col min="8210" max="8210" width="27" style="791" bestFit="1" customWidth="1"/>
    <col min="8211" max="8448" width="9.109375" style="791"/>
    <col min="8449" max="8449" width="2" style="791" customWidth="1"/>
    <col min="8450" max="8450" width="5.6640625" style="791" customWidth="1"/>
    <col min="8451" max="8451" width="8.33203125" style="791" customWidth="1"/>
    <col min="8452" max="8452" width="51.33203125" style="791" customWidth="1"/>
    <col min="8453" max="8453" width="22.88671875" style="791" customWidth="1"/>
    <col min="8454" max="8455" width="16.6640625" style="791" customWidth="1"/>
    <col min="8456" max="8456" width="15.88671875" style="791" customWidth="1"/>
    <col min="8457" max="8457" width="14" style="791" customWidth="1"/>
    <col min="8458" max="8458" width="13.33203125" style="791" customWidth="1"/>
    <col min="8459" max="8460" width="19" style="791" customWidth="1"/>
    <col min="8461" max="8461" width="16.44140625" style="791" customWidth="1"/>
    <col min="8462" max="8462" width="13.44140625" style="791" customWidth="1"/>
    <col min="8463" max="8463" width="11.6640625" style="791" customWidth="1"/>
    <col min="8464" max="8464" width="12.6640625" style="791" customWidth="1"/>
    <col min="8465" max="8465" width="11.33203125" style="791" customWidth="1"/>
    <col min="8466" max="8466" width="27" style="791" bestFit="1" customWidth="1"/>
    <col min="8467" max="8704" width="9.109375" style="791"/>
    <col min="8705" max="8705" width="2" style="791" customWidth="1"/>
    <col min="8706" max="8706" width="5.6640625" style="791" customWidth="1"/>
    <col min="8707" max="8707" width="8.33203125" style="791" customWidth="1"/>
    <col min="8708" max="8708" width="51.33203125" style="791" customWidth="1"/>
    <col min="8709" max="8709" width="22.88671875" style="791" customWidth="1"/>
    <col min="8710" max="8711" width="16.6640625" style="791" customWidth="1"/>
    <col min="8712" max="8712" width="15.88671875" style="791" customWidth="1"/>
    <col min="8713" max="8713" width="14" style="791" customWidth="1"/>
    <col min="8714" max="8714" width="13.33203125" style="791" customWidth="1"/>
    <col min="8715" max="8716" width="19" style="791" customWidth="1"/>
    <col min="8717" max="8717" width="16.44140625" style="791" customWidth="1"/>
    <col min="8718" max="8718" width="13.44140625" style="791" customWidth="1"/>
    <col min="8719" max="8719" width="11.6640625" style="791" customWidth="1"/>
    <col min="8720" max="8720" width="12.6640625" style="791" customWidth="1"/>
    <col min="8721" max="8721" width="11.33203125" style="791" customWidth="1"/>
    <col min="8722" max="8722" width="27" style="791" bestFit="1" customWidth="1"/>
    <col min="8723" max="8960" width="9.109375" style="791"/>
    <col min="8961" max="8961" width="2" style="791" customWidth="1"/>
    <col min="8962" max="8962" width="5.6640625" style="791" customWidth="1"/>
    <col min="8963" max="8963" width="8.33203125" style="791" customWidth="1"/>
    <col min="8964" max="8964" width="51.33203125" style="791" customWidth="1"/>
    <col min="8965" max="8965" width="22.88671875" style="791" customWidth="1"/>
    <col min="8966" max="8967" width="16.6640625" style="791" customWidth="1"/>
    <col min="8968" max="8968" width="15.88671875" style="791" customWidth="1"/>
    <col min="8969" max="8969" width="14" style="791" customWidth="1"/>
    <col min="8970" max="8970" width="13.33203125" style="791" customWidth="1"/>
    <col min="8971" max="8972" width="19" style="791" customWidth="1"/>
    <col min="8973" max="8973" width="16.44140625" style="791" customWidth="1"/>
    <col min="8974" max="8974" width="13.44140625" style="791" customWidth="1"/>
    <col min="8975" max="8975" width="11.6640625" style="791" customWidth="1"/>
    <col min="8976" max="8976" width="12.6640625" style="791" customWidth="1"/>
    <col min="8977" max="8977" width="11.33203125" style="791" customWidth="1"/>
    <col min="8978" max="8978" width="27" style="791" bestFit="1" customWidth="1"/>
    <col min="8979" max="9216" width="9.109375" style="791"/>
    <col min="9217" max="9217" width="2" style="791" customWidth="1"/>
    <col min="9218" max="9218" width="5.6640625" style="791" customWidth="1"/>
    <col min="9219" max="9219" width="8.33203125" style="791" customWidth="1"/>
    <col min="9220" max="9220" width="51.33203125" style="791" customWidth="1"/>
    <col min="9221" max="9221" width="22.88671875" style="791" customWidth="1"/>
    <col min="9222" max="9223" width="16.6640625" style="791" customWidth="1"/>
    <col min="9224" max="9224" width="15.88671875" style="791" customWidth="1"/>
    <col min="9225" max="9225" width="14" style="791" customWidth="1"/>
    <col min="9226" max="9226" width="13.33203125" style="791" customWidth="1"/>
    <col min="9227" max="9228" width="19" style="791" customWidth="1"/>
    <col min="9229" max="9229" width="16.44140625" style="791" customWidth="1"/>
    <col min="9230" max="9230" width="13.44140625" style="791" customWidth="1"/>
    <col min="9231" max="9231" width="11.6640625" style="791" customWidth="1"/>
    <col min="9232" max="9232" width="12.6640625" style="791" customWidth="1"/>
    <col min="9233" max="9233" width="11.33203125" style="791" customWidth="1"/>
    <col min="9234" max="9234" width="27" style="791" bestFit="1" customWidth="1"/>
    <col min="9235" max="9472" width="9.109375" style="791"/>
    <col min="9473" max="9473" width="2" style="791" customWidth="1"/>
    <col min="9474" max="9474" width="5.6640625" style="791" customWidth="1"/>
    <col min="9475" max="9475" width="8.33203125" style="791" customWidth="1"/>
    <col min="9476" max="9476" width="51.33203125" style="791" customWidth="1"/>
    <col min="9477" max="9477" width="22.88671875" style="791" customWidth="1"/>
    <col min="9478" max="9479" width="16.6640625" style="791" customWidth="1"/>
    <col min="9480" max="9480" width="15.88671875" style="791" customWidth="1"/>
    <col min="9481" max="9481" width="14" style="791" customWidth="1"/>
    <col min="9482" max="9482" width="13.33203125" style="791" customWidth="1"/>
    <col min="9483" max="9484" width="19" style="791" customWidth="1"/>
    <col min="9485" max="9485" width="16.44140625" style="791" customWidth="1"/>
    <col min="9486" max="9486" width="13.44140625" style="791" customWidth="1"/>
    <col min="9487" max="9487" width="11.6640625" style="791" customWidth="1"/>
    <col min="9488" max="9488" width="12.6640625" style="791" customWidth="1"/>
    <col min="9489" max="9489" width="11.33203125" style="791" customWidth="1"/>
    <col min="9490" max="9490" width="27" style="791" bestFit="1" customWidth="1"/>
    <col min="9491" max="9728" width="9.109375" style="791"/>
    <col min="9729" max="9729" width="2" style="791" customWidth="1"/>
    <col min="9730" max="9730" width="5.6640625" style="791" customWidth="1"/>
    <col min="9731" max="9731" width="8.33203125" style="791" customWidth="1"/>
    <col min="9732" max="9732" width="51.33203125" style="791" customWidth="1"/>
    <col min="9733" max="9733" width="22.88671875" style="791" customWidth="1"/>
    <col min="9734" max="9735" width="16.6640625" style="791" customWidth="1"/>
    <col min="9736" max="9736" width="15.88671875" style="791" customWidth="1"/>
    <col min="9737" max="9737" width="14" style="791" customWidth="1"/>
    <col min="9738" max="9738" width="13.33203125" style="791" customWidth="1"/>
    <col min="9739" max="9740" width="19" style="791" customWidth="1"/>
    <col min="9741" max="9741" width="16.44140625" style="791" customWidth="1"/>
    <col min="9742" max="9742" width="13.44140625" style="791" customWidth="1"/>
    <col min="9743" max="9743" width="11.6640625" style="791" customWidth="1"/>
    <col min="9744" max="9744" width="12.6640625" style="791" customWidth="1"/>
    <col min="9745" max="9745" width="11.33203125" style="791" customWidth="1"/>
    <col min="9746" max="9746" width="27" style="791" bestFit="1" customWidth="1"/>
    <col min="9747" max="9984" width="9.109375" style="791"/>
    <col min="9985" max="9985" width="2" style="791" customWidth="1"/>
    <col min="9986" max="9986" width="5.6640625" style="791" customWidth="1"/>
    <col min="9987" max="9987" width="8.33203125" style="791" customWidth="1"/>
    <col min="9988" max="9988" width="51.33203125" style="791" customWidth="1"/>
    <col min="9989" max="9989" width="22.88671875" style="791" customWidth="1"/>
    <col min="9990" max="9991" width="16.6640625" style="791" customWidth="1"/>
    <col min="9992" max="9992" width="15.88671875" style="791" customWidth="1"/>
    <col min="9993" max="9993" width="14" style="791" customWidth="1"/>
    <col min="9994" max="9994" width="13.33203125" style="791" customWidth="1"/>
    <col min="9995" max="9996" width="19" style="791" customWidth="1"/>
    <col min="9997" max="9997" width="16.44140625" style="791" customWidth="1"/>
    <col min="9998" max="9998" width="13.44140625" style="791" customWidth="1"/>
    <col min="9999" max="9999" width="11.6640625" style="791" customWidth="1"/>
    <col min="10000" max="10000" width="12.6640625" style="791" customWidth="1"/>
    <col min="10001" max="10001" width="11.33203125" style="791" customWidth="1"/>
    <col min="10002" max="10002" width="27" style="791" bestFit="1" customWidth="1"/>
    <col min="10003" max="10240" width="9.109375" style="791"/>
    <col min="10241" max="10241" width="2" style="791" customWidth="1"/>
    <col min="10242" max="10242" width="5.6640625" style="791" customWidth="1"/>
    <col min="10243" max="10243" width="8.33203125" style="791" customWidth="1"/>
    <col min="10244" max="10244" width="51.33203125" style="791" customWidth="1"/>
    <col min="10245" max="10245" width="22.88671875" style="791" customWidth="1"/>
    <col min="10246" max="10247" width="16.6640625" style="791" customWidth="1"/>
    <col min="10248" max="10248" width="15.88671875" style="791" customWidth="1"/>
    <col min="10249" max="10249" width="14" style="791" customWidth="1"/>
    <col min="10250" max="10250" width="13.33203125" style="791" customWidth="1"/>
    <col min="10251" max="10252" width="19" style="791" customWidth="1"/>
    <col min="10253" max="10253" width="16.44140625" style="791" customWidth="1"/>
    <col min="10254" max="10254" width="13.44140625" style="791" customWidth="1"/>
    <col min="10255" max="10255" width="11.6640625" style="791" customWidth="1"/>
    <col min="10256" max="10256" width="12.6640625" style="791" customWidth="1"/>
    <col min="10257" max="10257" width="11.33203125" style="791" customWidth="1"/>
    <col min="10258" max="10258" width="27" style="791" bestFit="1" customWidth="1"/>
    <col min="10259"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1" width="22.88671875" style="791" customWidth="1"/>
    <col min="10502" max="10503" width="16.6640625" style="791" customWidth="1"/>
    <col min="10504" max="10504" width="15.88671875" style="791" customWidth="1"/>
    <col min="10505" max="10505" width="14" style="791" customWidth="1"/>
    <col min="10506" max="10506" width="13.33203125" style="791" customWidth="1"/>
    <col min="10507" max="10508" width="19" style="791" customWidth="1"/>
    <col min="10509" max="10509" width="16.44140625" style="791" customWidth="1"/>
    <col min="10510" max="10510" width="13.44140625" style="791" customWidth="1"/>
    <col min="10511" max="10511" width="11.6640625" style="791" customWidth="1"/>
    <col min="10512" max="10512" width="12.6640625" style="791" customWidth="1"/>
    <col min="10513" max="10513" width="11.33203125" style="791" customWidth="1"/>
    <col min="10514" max="10514" width="27" style="791" bestFit="1" customWidth="1"/>
    <col min="10515" max="10752" width="9.109375" style="791"/>
    <col min="10753" max="10753" width="2" style="791" customWidth="1"/>
    <col min="10754" max="10754" width="5.6640625" style="791" customWidth="1"/>
    <col min="10755" max="10755" width="8.33203125" style="791" customWidth="1"/>
    <col min="10756" max="10756" width="51.33203125" style="791" customWidth="1"/>
    <col min="10757" max="10757" width="22.88671875" style="791" customWidth="1"/>
    <col min="10758" max="10759" width="16.6640625" style="791" customWidth="1"/>
    <col min="10760" max="10760" width="15.88671875" style="791" customWidth="1"/>
    <col min="10761" max="10761" width="14" style="791" customWidth="1"/>
    <col min="10762" max="10762" width="13.33203125" style="791" customWidth="1"/>
    <col min="10763" max="10764" width="19" style="791" customWidth="1"/>
    <col min="10765" max="10765" width="16.44140625" style="791" customWidth="1"/>
    <col min="10766" max="10766" width="13.44140625" style="791" customWidth="1"/>
    <col min="10767" max="10767" width="11.6640625" style="791" customWidth="1"/>
    <col min="10768" max="10768" width="12.6640625" style="791" customWidth="1"/>
    <col min="10769" max="10769" width="11.33203125" style="791" customWidth="1"/>
    <col min="10770" max="10770" width="27" style="791" bestFit="1" customWidth="1"/>
    <col min="10771"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3" width="22.88671875" style="791" customWidth="1"/>
    <col min="11014" max="11015" width="16.6640625" style="791" customWidth="1"/>
    <col min="11016" max="11016" width="15.88671875" style="791" customWidth="1"/>
    <col min="11017" max="11017" width="14" style="791" customWidth="1"/>
    <col min="11018" max="11018" width="13.33203125" style="791" customWidth="1"/>
    <col min="11019" max="11020" width="19" style="791" customWidth="1"/>
    <col min="11021" max="11021" width="16.44140625" style="791" customWidth="1"/>
    <col min="11022" max="11022" width="13.44140625" style="791" customWidth="1"/>
    <col min="11023" max="11023" width="11.6640625" style="791" customWidth="1"/>
    <col min="11024" max="11024" width="12.6640625" style="791" customWidth="1"/>
    <col min="11025" max="11025" width="11.33203125" style="791" customWidth="1"/>
    <col min="11026" max="11026" width="27" style="791" bestFit="1" customWidth="1"/>
    <col min="11027" max="11264" width="9.109375" style="791"/>
    <col min="11265" max="11265" width="2" style="791" customWidth="1"/>
    <col min="11266" max="11266" width="5.6640625" style="791" customWidth="1"/>
    <col min="11267" max="11267" width="8.33203125" style="791" customWidth="1"/>
    <col min="11268" max="11268" width="51.33203125" style="791" customWidth="1"/>
    <col min="11269" max="11269" width="22.88671875" style="791" customWidth="1"/>
    <col min="11270" max="11271" width="16.6640625" style="791" customWidth="1"/>
    <col min="11272" max="11272" width="15.88671875" style="791" customWidth="1"/>
    <col min="11273" max="11273" width="14" style="791" customWidth="1"/>
    <col min="11274" max="11274" width="13.33203125" style="791" customWidth="1"/>
    <col min="11275" max="11276" width="19" style="791" customWidth="1"/>
    <col min="11277" max="11277" width="16.44140625" style="791" customWidth="1"/>
    <col min="11278" max="11278" width="13.44140625" style="791" customWidth="1"/>
    <col min="11279" max="11279" width="11.6640625" style="791" customWidth="1"/>
    <col min="11280" max="11280" width="12.6640625" style="791" customWidth="1"/>
    <col min="11281" max="11281" width="11.33203125" style="791" customWidth="1"/>
    <col min="11282" max="11282" width="27" style="791" bestFit="1" customWidth="1"/>
    <col min="11283" max="11520" width="9.109375" style="791"/>
    <col min="11521" max="11521" width="2" style="791" customWidth="1"/>
    <col min="11522" max="11522" width="5.6640625" style="791" customWidth="1"/>
    <col min="11523" max="11523" width="8.33203125" style="791" customWidth="1"/>
    <col min="11524" max="11524" width="51.33203125" style="791" customWidth="1"/>
    <col min="11525" max="11525" width="22.88671875" style="791" customWidth="1"/>
    <col min="11526" max="11527" width="16.6640625" style="791" customWidth="1"/>
    <col min="11528" max="11528" width="15.88671875" style="791" customWidth="1"/>
    <col min="11529" max="11529" width="14" style="791" customWidth="1"/>
    <col min="11530" max="11530" width="13.33203125" style="791" customWidth="1"/>
    <col min="11531" max="11532" width="19" style="791" customWidth="1"/>
    <col min="11533" max="11533" width="16.44140625" style="791" customWidth="1"/>
    <col min="11534" max="11534" width="13.44140625" style="791" customWidth="1"/>
    <col min="11535" max="11535" width="11.6640625" style="791" customWidth="1"/>
    <col min="11536" max="11536" width="12.6640625" style="791" customWidth="1"/>
    <col min="11537" max="11537" width="11.33203125" style="791" customWidth="1"/>
    <col min="11538" max="11538" width="27" style="791" bestFit="1" customWidth="1"/>
    <col min="11539"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1" width="22.88671875" style="791" customWidth="1"/>
    <col min="11782" max="11783" width="16.6640625" style="791" customWidth="1"/>
    <col min="11784" max="11784" width="15.88671875" style="791" customWidth="1"/>
    <col min="11785" max="11785" width="14" style="791" customWidth="1"/>
    <col min="11786" max="11786" width="13.33203125" style="791" customWidth="1"/>
    <col min="11787" max="11788" width="19" style="791" customWidth="1"/>
    <col min="11789" max="11789" width="16.44140625" style="791" customWidth="1"/>
    <col min="11790" max="11790" width="13.44140625" style="791" customWidth="1"/>
    <col min="11791" max="11791" width="11.6640625" style="791" customWidth="1"/>
    <col min="11792" max="11792" width="12.6640625" style="791" customWidth="1"/>
    <col min="11793" max="11793" width="11.33203125" style="791" customWidth="1"/>
    <col min="11794" max="11794" width="27" style="791" bestFit="1" customWidth="1"/>
    <col min="11795" max="12032" width="9.109375" style="791"/>
    <col min="12033" max="12033" width="2" style="791" customWidth="1"/>
    <col min="12034" max="12034" width="5.6640625" style="791" customWidth="1"/>
    <col min="12035" max="12035" width="8.33203125" style="791" customWidth="1"/>
    <col min="12036" max="12036" width="51.33203125" style="791" customWidth="1"/>
    <col min="12037" max="12037" width="22.88671875" style="791" customWidth="1"/>
    <col min="12038" max="12039" width="16.6640625" style="791" customWidth="1"/>
    <col min="12040" max="12040" width="15.88671875" style="791" customWidth="1"/>
    <col min="12041" max="12041" width="14" style="791" customWidth="1"/>
    <col min="12042" max="12042" width="13.33203125" style="791" customWidth="1"/>
    <col min="12043" max="12044" width="19" style="791" customWidth="1"/>
    <col min="12045" max="12045" width="16.44140625" style="791" customWidth="1"/>
    <col min="12046" max="12046" width="13.44140625" style="791" customWidth="1"/>
    <col min="12047" max="12047" width="11.6640625" style="791" customWidth="1"/>
    <col min="12048" max="12048" width="12.6640625" style="791" customWidth="1"/>
    <col min="12049" max="12049" width="11.33203125" style="791" customWidth="1"/>
    <col min="12050" max="12050" width="27" style="791" bestFit="1" customWidth="1"/>
    <col min="12051"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3" width="22.88671875" style="791" customWidth="1"/>
    <col min="12294" max="12295" width="16.6640625" style="791" customWidth="1"/>
    <col min="12296" max="12296" width="15.88671875" style="791" customWidth="1"/>
    <col min="12297" max="12297" width="14" style="791" customWidth="1"/>
    <col min="12298" max="12298" width="13.33203125" style="791" customWidth="1"/>
    <col min="12299" max="12300" width="19" style="791" customWidth="1"/>
    <col min="12301" max="12301" width="16.44140625" style="791" customWidth="1"/>
    <col min="12302" max="12302" width="13.44140625" style="791" customWidth="1"/>
    <col min="12303" max="12303" width="11.6640625" style="791" customWidth="1"/>
    <col min="12304" max="12304" width="12.6640625" style="791" customWidth="1"/>
    <col min="12305" max="12305" width="11.33203125" style="791" customWidth="1"/>
    <col min="12306" max="12306" width="27" style="791" bestFit="1" customWidth="1"/>
    <col min="12307" max="12544" width="9.109375" style="791"/>
    <col min="12545" max="12545" width="2" style="791" customWidth="1"/>
    <col min="12546" max="12546" width="5.6640625" style="791" customWidth="1"/>
    <col min="12547" max="12547" width="8.33203125" style="791" customWidth="1"/>
    <col min="12548" max="12548" width="51.33203125" style="791" customWidth="1"/>
    <col min="12549" max="12549" width="22.88671875" style="791" customWidth="1"/>
    <col min="12550" max="12551" width="16.6640625" style="791" customWidth="1"/>
    <col min="12552" max="12552" width="15.88671875" style="791" customWidth="1"/>
    <col min="12553" max="12553" width="14" style="791" customWidth="1"/>
    <col min="12554" max="12554" width="13.33203125" style="791" customWidth="1"/>
    <col min="12555" max="12556" width="19" style="791" customWidth="1"/>
    <col min="12557" max="12557" width="16.44140625" style="791" customWidth="1"/>
    <col min="12558" max="12558" width="13.44140625" style="791" customWidth="1"/>
    <col min="12559" max="12559" width="11.6640625" style="791" customWidth="1"/>
    <col min="12560" max="12560" width="12.6640625" style="791" customWidth="1"/>
    <col min="12561" max="12561" width="11.33203125" style="791" customWidth="1"/>
    <col min="12562" max="12562" width="27" style="791" bestFit="1" customWidth="1"/>
    <col min="12563" max="12800" width="9.109375" style="791"/>
    <col min="12801" max="12801" width="2" style="791" customWidth="1"/>
    <col min="12802" max="12802" width="5.6640625" style="791" customWidth="1"/>
    <col min="12803" max="12803" width="8.33203125" style="791" customWidth="1"/>
    <col min="12804" max="12804" width="51.33203125" style="791" customWidth="1"/>
    <col min="12805" max="12805" width="22.88671875" style="791" customWidth="1"/>
    <col min="12806" max="12807" width="16.6640625" style="791" customWidth="1"/>
    <col min="12808" max="12808" width="15.88671875" style="791" customWidth="1"/>
    <col min="12809" max="12809" width="14" style="791" customWidth="1"/>
    <col min="12810" max="12810" width="13.33203125" style="791" customWidth="1"/>
    <col min="12811" max="12812" width="19" style="791" customWidth="1"/>
    <col min="12813" max="12813" width="16.44140625" style="791" customWidth="1"/>
    <col min="12814" max="12814" width="13.44140625" style="791" customWidth="1"/>
    <col min="12815" max="12815" width="11.6640625" style="791" customWidth="1"/>
    <col min="12816" max="12816" width="12.6640625" style="791" customWidth="1"/>
    <col min="12817" max="12817" width="11.33203125" style="791" customWidth="1"/>
    <col min="12818" max="12818" width="27" style="791" bestFit="1" customWidth="1"/>
    <col min="12819"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1" width="22.88671875" style="791" customWidth="1"/>
    <col min="13062" max="13063" width="16.6640625" style="791" customWidth="1"/>
    <col min="13064" max="13064" width="15.88671875" style="791" customWidth="1"/>
    <col min="13065" max="13065" width="14" style="791" customWidth="1"/>
    <col min="13066" max="13066" width="13.33203125" style="791" customWidth="1"/>
    <col min="13067" max="13068" width="19" style="791" customWidth="1"/>
    <col min="13069" max="13069" width="16.44140625" style="791" customWidth="1"/>
    <col min="13070" max="13070" width="13.44140625" style="791" customWidth="1"/>
    <col min="13071" max="13071" width="11.6640625" style="791" customWidth="1"/>
    <col min="13072" max="13072" width="12.6640625" style="791" customWidth="1"/>
    <col min="13073" max="13073" width="11.33203125" style="791" customWidth="1"/>
    <col min="13074" max="13074" width="27" style="791" bestFit="1" customWidth="1"/>
    <col min="13075" max="13312" width="9.109375" style="791"/>
    <col min="13313" max="13313" width="2" style="791" customWidth="1"/>
    <col min="13314" max="13314" width="5.6640625" style="791" customWidth="1"/>
    <col min="13315" max="13315" width="8.33203125" style="791" customWidth="1"/>
    <col min="13316" max="13316" width="51.33203125" style="791" customWidth="1"/>
    <col min="13317" max="13317" width="22.88671875" style="791" customWidth="1"/>
    <col min="13318" max="13319" width="16.6640625" style="791" customWidth="1"/>
    <col min="13320" max="13320" width="15.88671875" style="791" customWidth="1"/>
    <col min="13321" max="13321" width="14" style="791" customWidth="1"/>
    <col min="13322" max="13322" width="13.33203125" style="791" customWidth="1"/>
    <col min="13323" max="13324" width="19" style="791" customWidth="1"/>
    <col min="13325" max="13325" width="16.44140625" style="791" customWidth="1"/>
    <col min="13326" max="13326" width="13.44140625" style="791" customWidth="1"/>
    <col min="13327" max="13327" width="11.6640625" style="791" customWidth="1"/>
    <col min="13328" max="13328" width="12.6640625" style="791" customWidth="1"/>
    <col min="13329" max="13329" width="11.33203125" style="791" customWidth="1"/>
    <col min="13330" max="13330" width="27" style="791" bestFit="1" customWidth="1"/>
    <col min="13331"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3" width="22.88671875" style="791" customWidth="1"/>
    <col min="13574" max="13575" width="16.6640625" style="791" customWidth="1"/>
    <col min="13576" max="13576" width="15.88671875" style="791" customWidth="1"/>
    <col min="13577" max="13577" width="14" style="791" customWidth="1"/>
    <col min="13578" max="13578" width="13.33203125" style="791" customWidth="1"/>
    <col min="13579" max="13580" width="19" style="791" customWidth="1"/>
    <col min="13581" max="13581" width="16.44140625" style="791" customWidth="1"/>
    <col min="13582" max="13582" width="13.44140625" style="791" customWidth="1"/>
    <col min="13583" max="13583" width="11.6640625" style="791" customWidth="1"/>
    <col min="13584" max="13584" width="12.6640625" style="791" customWidth="1"/>
    <col min="13585" max="13585" width="11.33203125" style="791" customWidth="1"/>
    <col min="13586" max="13586" width="27" style="791" bestFit="1" customWidth="1"/>
    <col min="13587" max="13824" width="9.109375" style="791"/>
    <col min="13825" max="13825" width="2" style="791" customWidth="1"/>
    <col min="13826" max="13826" width="5.6640625" style="791" customWidth="1"/>
    <col min="13827" max="13827" width="8.33203125" style="791" customWidth="1"/>
    <col min="13828" max="13828" width="51.33203125" style="791" customWidth="1"/>
    <col min="13829" max="13829" width="22.88671875" style="791" customWidth="1"/>
    <col min="13830" max="13831" width="16.6640625" style="791" customWidth="1"/>
    <col min="13832" max="13832" width="15.88671875" style="791" customWidth="1"/>
    <col min="13833" max="13833" width="14" style="791" customWidth="1"/>
    <col min="13834" max="13834" width="13.33203125" style="791" customWidth="1"/>
    <col min="13835" max="13836" width="19" style="791" customWidth="1"/>
    <col min="13837" max="13837" width="16.44140625" style="791" customWidth="1"/>
    <col min="13838" max="13838" width="13.44140625" style="791" customWidth="1"/>
    <col min="13839" max="13839" width="11.6640625" style="791" customWidth="1"/>
    <col min="13840" max="13840" width="12.6640625" style="791" customWidth="1"/>
    <col min="13841" max="13841" width="11.33203125" style="791" customWidth="1"/>
    <col min="13842" max="13842" width="27" style="791" bestFit="1" customWidth="1"/>
    <col min="13843" max="14080" width="9.109375" style="791"/>
    <col min="14081" max="14081" width="2" style="791" customWidth="1"/>
    <col min="14082" max="14082" width="5.6640625" style="791" customWidth="1"/>
    <col min="14083" max="14083" width="8.33203125" style="791" customWidth="1"/>
    <col min="14084" max="14084" width="51.33203125" style="791" customWidth="1"/>
    <col min="14085" max="14085" width="22.88671875" style="791" customWidth="1"/>
    <col min="14086" max="14087" width="16.6640625" style="791" customWidth="1"/>
    <col min="14088" max="14088" width="15.88671875" style="791" customWidth="1"/>
    <col min="14089" max="14089" width="14" style="791" customWidth="1"/>
    <col min="14090" max="14090" width="13.33203125" style="791" customWidth="1"/>
    <col min="14091" max="14092" width="19" style="791" customWidth="1"/>
    <col min="14093" max="14093" width="16.44140625" style="791" customWidth="1"/>
    <col min="14094" max="14094" width="13.44140625" style="791" customWidth="1"/>
    <col min="14095" max="14095" width="11.6640625" style="791" customWidth="1"/>
    <col min="14096" max="14096" width="12.6640625" style="791" customWidth="1"/>
    <col min="14097" max="14097" width="11.33203125" style="791" customWidth="1"/>
    <col min="14098" max="14098" width="27" style="791" bestFit="1" customWidth="1"/>
    <col min="14099"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1" width="22.88671875" style="791" customWidth="1"/>
    <col min="14342" max="14343" width="16.6640625" style="791" customWidth="1"/>
    <col min="14344" max="14344" width="15.88671875" style="791" customWidth="1"/>
    <col min="14345" max="14345" width="14" style="791" customWidth="1"/>
    <col min="14346" max="14346" width="13.33203125" style="791" customWidth="1"/>
    <col min="14347" max="14348" width="19" style="791" customWidth="1"/>
    <col min="14349" max="14349" width="16.44140625" style="791" customWidth="1"/>
    <col min="14350" max="14350" width="13.44140625" style="791" customWidth="1"/>
    <col min="14351" max="14351" width="11.6640625" style="791" customWidth="1"/>
    <col min="14352" max="14352" width="12.6640625" style="791" customWidth="1"/>
    <col min="14353" max="14353" width="11.33203125" style="791" customWidth="1"/>
    <col min="14354" max="14354" width="27" style="791" bestFit="1" customWidth="1"/>
    <col min="14355" max="14592" width="9.109375" style="791"/>
    <col min="14593" max="14593" width="2" style="791" customWidth="1"/>
    <col min="14594" max="14594" width="5.6640625" style="791" customWidth="1"/>
    <col min="14595" max="14595" width="8.33203125" style="791" customWidth="1"/>
    <col min="14596" max="14596" width="51.33203125" style="791" customWidth="1"/>
    <col min="14597" max="14597" width="22.88671875" style="791" customWidth="1"/>
    <col min="14598" max="14599" width="16.6640625" style="791" customWidth="1"/>
    <col min="14600" max="14600" width="15.88671875" style="791" customWidth="1"/>
    <col min="14601" max="14601" width="14" style="791" customWidth="1"/>
    <col min="14602" max="14602" width="13.33203125" style="791" customWidth="1"/>
    <col min="14603" max="14604" width="19" style="791" customWidth="1"/>
    <col min="14605" max="14605" width="16.44140625" style="791" customWidth="1"/>
    <col min="14606" max="14606" width="13.44140625" style="791" customWidth="1"/>
    <col min="14607" max="14607" width="11.6640625" style="791" customWidth="1"/>
    <col min="14608" max="14608" width="12.6640625" style="791" customWidth="1"/>
    <col min="14609" max="14609" width="11.33203125" style="791" customWidth="1"/>
    <col min="14610" max="14610" width="27" style="791" bestFit="1" customWidth="1"/>
    <col min="14611"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3" width="22.88671875" style="791" customWidth="1"/>
    <col min="14854" max="14855" width="16.6640625" style="791" customWidth="1"/>
    <col min="14856" max="14856" width="15.88671875" style="791" customWidth="1"/>
    <col min="14857" max="14857" width="14" style="791" customWidth="1"/>
    <col min="14858" max="14858" width="13.33203125" style="791" customWidth="1"/>
    <col min="14859" max="14860" width="19" style="791" customWidth="1"/>
    <col min="14861" max="14861" width="16.44140625" style="791" customWidth="1"/>
    <col min="14862" max="14862" width="13.44140625" style="791" customWidth="1"/>
    <col min="14863" max="14863" width="11.6640625" style="791" customWidth="1"/>
    <col min="14864" max="14864" width="12.6640625" style="791" customWidth="1"/>
    <col min="14865" max="14865" width="11.33203125" style="791" customWidth="1"/>
    <col min="14866" max="14866" width="27" style="791" bestFit="1" customWidth="1"/>
    <col min="14867" max="15104" width="9.109375" style="791"/>
    <col min="15105" max="15105" width="2" style="791" customWidth="1"/>
    <col min="15106" max="15106" width="5.6640625" style="791" customWidth="1"/>
    <col min="15107" max="15107" width="8.33203125" style="791" customWidth="1"/>
    <col min="15108" max="15108" width="51.33203125" style="791" customWidth="1"/>
    <col min="15109" max="15109" width="22.88671875" style="791" customWidth="1"/>
    <col min="15110" max="15111" width="16.6640625" style="791" customWidth="1"/>
    <col min="15112" max="15112" width="15.88671875" style="791" customWidth="1"/>
    <col min="15113" max="15113" width="14" style="791" customWidth="1"/>
    <col min="15114" max="15114" width="13.33203125" style="791" customWidth="1"/>
    <col min="15115" max="15116" width="19" style="791" customWidth="1"/>
    <col min="15117" max="15117" width="16.44140625" style="791" customWidth="1"/>
    <col min="15118" max="15118" width="13.44140625" style="791" customWidth="1"/>
    <col min="15119" max="15119" width="11.6640625" style="791" customWidth="1"/>
    <col min="15120" max="15120" width="12.6640625" style="791" customWidth="1"/>
    <col min="15121" max="15121" width="11.33203125" style="791" customWidth="1"/>
    <col min="15122" max="15122" width="27" style="791" bestFit="1" customWidth="1"/>
    <col min="15123" max="15360" width="9.109375" style="791"/>
    <col min="15361" max="15361" width="2" style="791" customWidth="1"/>
    <col min="15362" max="15362" width="5.6640625" style="791" customWidth="1"/>
    <col min="15363" max="15363" width="8.33203125" style="791" customWidth="1"/>
    <col min="15364" max="15364" width="51.33203125" style="791" customWidth="1"/>
    <col min="15365" max="15365" width="22.88671875" style="791" customWidth="1"/>
    <col min="15366" max="15367" width="16.6640625" style="791" customWidth="1"/>
    <col min="15368" max="15368" width="15.88671875" style="791" customWidth="1"/>
    <col min="15369" max="15369" width="14" style="791" customWidth="1"/>
    <col min="15370" max="15370" width="13.33203125" style="791" customWidth="1"/>
    <col min="15371" max="15372" width="19" style="791" customWidth="1"/>
    <col min="15373" max="15373" width="16.44140625" style="791" customWidth="1"/>
    <col min="15374" max="15374" width="13.44140625" style="791" customWidth="1"/>
    <col min="15375" max="15375" width="11.6640625" style="791" customWidth="1"/>
    <col min="15376" max="15376" width="12.6640625" style="791" customWidth="1"/>
    <col min="15377" max="15377" width="11.33203125" style="791" customWidth="1"/>
    <col min="15378" max="15378" width="27" style="791" bestFit="1" customWidth="1"/>
    <col min="15379"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1" width="22.88671875" style="791" customWidth="1"/>
    <col min="15622" max="15623" width="16.6640625" style="791" customWidth="1"/>
    <col min="15624" max="15624" width="15.88671875" style="791" customWidth="1"/>
    <col min="15625" max="15625" width="14" style="791" customWidth="1"/>
    <col min="15626" max="15626" width="13.33203125" style="791" customWidth="1"/>
    <col min="15627" max="15628" width="19" style="791" customWidth="1"/>
    <col min="15629" max="15629" width="16.44140625" style="791" customWidth="1"/>
    <col min="15630" max="15630" width="13.44140625" style="791" customWidth="1"/>
    <col min="15631" max="15631" width="11.6640625" style="791" customWidth="1"/>
    <col min="15632" max="15632" width="12.6640625" style="791" customWidth="1"/>
    <col min="15633" max="15633" width="11.33203125" style="791" customWidth="1"/>
    <col min="15634" max="15634" width="27" style="791" bestFit="1" customWidth="1"/>
    <col min="15635" max="15872" width="9.109375" style="791"/>
    <col min="15873" max="15873" width="2" style="791" customWidth="1"/>
    <col min="15874" max="15874" width="5.6640625" style="791" customWidth="1"/>
    <col min="15875" max="15875" width="8.33203125" style="791" customWidth="1"/>
    <col min="15876" max="15876" width="51.33203125" style="791" customWidth="1"/>
    <col min="15877" max="15877" width="22.88671875" style="791" customWidth="1"/>
    <col min="15878" max="15879" width="16.6640625" style="791" customWidth="1"/>
    <col min="15880" max="15880" width="15.88671875" style="791" customWidth="1"/>
    <col min="15881" max="15881" width="14" style="791" customWidth="1"/>
    <col min="15882" max="15882" width="13.33203125" style="791" customWidth="1"/>
    <col min="15883" max="15884" width="19" style="791" customWidth="1"/>
    <col min="15885" max="15885" width="16.44140625" style="791" customWidth="1"/>
    <col min="15886" max="15886" width="13.44140625" style="791" customWidth="1"/>
    <col min="15887" max="15887" width="11.6640625" style="791" customWidth="1"/>
    <col min="15888" max="15888" width="12.6640625" style="791" customWidth="1"/>
    <col min="15889" max="15889" width="11.33203125" style="791" customWidth="1"/>
    <col min="15890" max="15890" width="27" style="791" bestFit="1" customWidth="1"/>
    <col min="15891"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3" width="22.88671875" style="791" customWidth="1"/>
    <col min="16134" max="16135" width="16.6640625" style="791" customWidth="1"/>
    <col min="16136" max="16136" width="15.88671875" style="791" customWidth="1"/>
    <col min="16137" max="16137" width="14" style="791" customWidth="1"/>
    <col min="16138" max="16138" width="13.33203125" style="791" customWidth="1"/>
    <col min="16139" max="16140" width="19" style="791" customWidth="1"/>
    <col min="16141" max="16141" width="16.44140625" style="791" customWidth="1"/>
    <col min="16142" max="16142" width="13.44140625" style="791" customWidth="1"/>
    <col min="16143" max="16143" width="11.6640625" style="791" customWidth="1"/>
    <col min="16144" max="16144" width="12.6640625" style="791" customWidth="1"/>
    <col min="16145" max="16145" width="11.33203125" style="791" customWidth="1"/>
    <col min="16146" max="16146" width="27" style="791" bestFit="1" customWidth="1"/>
    <col min="16147" max="16384" width="9.109375" style="791"/>
  </cols>
  <sheetData>
    <row r="1" spans="2:18" ht="20.399999999999999">
      <c r="B1" s="944" t="s">
        <v>1490</v>
      </c>
      <c r="C1" s="944"/>
      <c r="D1" s="956"/>
      <c r="E1" s="956"/>
      <c r="F1" s="956"/>
      <c r="G1" s="956"/>
      <c r="H1" s="956"/>
      <c r="I1" s="956"/>
      <c r="J1" s="956"/>
      <c r="K1" s="956"/>
      <c r="L1" s="956"/>
      <c r="M1" s="956"/>
      <c r="N1" s="956"/>
      <c r="O1" s="956"/>
      <c r="P1" s="956"/>
      <c r="Q1" s="956"/>
      <c r="R1" s="956"/>
    </row>
    <row r="2" spans="2:18" ht="19.2">
      <c r="B2" s="957" t="str">
        <f>Inputs!B2</f>
        <v>(For Rate Year Beginning April 1, 2026, Based on December 31, 2025 Data)</v>
      </c>
      <c r="C2" s="957"/>
      <c r="D2" s="957"/>
      <c r="E2" s="957"/>
      <c r="F2" s="957"/>
      <c r="G2" s="957"/>
      <c r="H2" s="957"/>
      <c r="I2" s="957"/>
      <c r="J2" s="957"/>
      <c r="K2" s="957"/>
      <c r="L2" s="957"/>
      <c r="M2" s="957"/>
      <c r="N2" s="958"/>
      <c r="O2" s="958"/>
      <c r="P2" s="959"/>
      <c r="Q2" s="959"/>
      <c r="R2" s="959"/>
    </row>
    <row r="3" spans="2:18" ht="8.1" customHeight="1">
      <c r="B3" s="169"/>
      <c r="C3" s="168"/>
      <c r="D3" s="170"/>
      <c r="E3" s="170"/>
      <c r="F3" s="170"/>
      <c r="G3" s="170"/>
      <c r="H3" s="170"/>
      <c r="I3" s="170"/>
      <c r="J3" s="170"/>
      <c r="K3" s="170"/>
      <c r="L3" s="170"/>
      <c r="M3" s="170"/>
      <c r="N3" s="170"/>
      <c r="O3" s="170"/>
      <c r="P3" s="171"/>
      <c r="Q3" s="170"/>
      <c r="R3" s="170"/>
    </row>
    <row r="4" spans="2:18" ht="14.4">
      <c r="B4" s="169"/>
      <c r="C4" s="168"/>
      <c r="D4" s="171"/>
      <c r="E4" s="744" t="s">
        <v>533</v>
      </c>
      <c r="F4" s="744" t="s">
        <v>534</v>
      </c>
      <c r="G4" s="744" t="s">
        <v>535</v>
      </c>
      <c r="H4" s="744" t="s">
        <v>536</v>
      </c>
      <c r="I4" s="744" t="s">
        <v>537</v>
      </c>
      <c r="J4" s="744" t="s">
        <v>538</v>
      </c>
      <c r="K4" s="744" t="s">
        <v>539</v>
      </c>
      <c r="L4" s="744" t="s">
        <v>1281</v>
      </c>
      <c r="M4" s="744" t="s">
        <v>1282</v>
      </c>
      <c r="N4" s="744" t="s">
        <v>1288</v>
      </c>
      <c r="O4" s="744" t="s">
        <v>1289</v>
      </c>
      <c r="P4" s="744" t="s">
        <v>1290</v>
      </c>
      <c r="Q4" s="744" t="s">
        <v>1291</v>
      </c>
      <c r="R4" s="744" t="s">
        <v>1292</v>
      </c>
    </row>
    <row r="5" spans="2:18" ht="15" customHeight="1">
      <c r="B5" s="169"/>
      <c r="C5" s="168"/>
      <c r="D5" s="170"/>
      <c r="E5" s="954" t="s">
        <v>1465</v>
      </c>
      <c r="F5" s="954" t="s">
        <v>1491</v>
      </c>
      <c r="G5" s="954" t="s">
        <v>1467</v>
      </c>
      <c r="H5" s="954" t="s">
        <v>1293</v>
      </c>
      <c r="I5" s="954" t="s">
        <v>1294</v>
      </c>
      <c r="J5" s="954" t="s">
        <v>1295</v>
      </c>
      <c r="K5" s="954" t="s">
        <v>1468</v>
      </c>
      <c r="L5" s="954" t="s">
        <v>1469</v>
      </c>
      <c r="M5" s="949" t="s">
        <v>325</v>
      </c>
      <c r="N5" s="949" t="s">
        <v>326</v>
      </c>
      <c r="O5" s="954" t="s">
        <v>1283</v>
      </c>
      <c r="P5" s="954" t="s">
        <v>1284</v>
      </c>
      <c r="Q5" s="954" t="s">
        <v>1285</v>
      </c>
      <c r="R5" s="954" t="s">
        <v>257</v>
      </c>
    </row>
    <row r="6" spans="2:18" ht="13.8">
      <c r="B6" s="169"/>
      <c r="C6" s="168"/>
      <c r="D6" s="170"/>
      <c r="E6" s="954"/>
      <c r="F6" s="954"/>
      <c r="G6" s="954"/>
      <c r="H6" s="954"/>
      <c r="I6" s="954"/>
      <c r="J6" s="954"/>
      <c r="K6" s="954" t="s">
        <v>1298</v>
      </c>
      <c r="L6" s="954" t="s">
        <v>1298</v>
      </c>
      <c r="M6" s="960"/>
      <c r="N6" s="960"/>
      <c r="O6" s="954" t="s">
        <v>363</v>
      </c>
      <c r="P6" s="954" t="s">
        <v>387</v>
      </c>
      <c r="Q6" s="954" t="s">
        <v>540</v>
      </c>
      <c r="R6" s="954"/>
    </row>
    <row r="7" spans="2:18" ht="42" customHeight="1">
      <c r="B7" s="792" t="s">
        <v>244</v>
      </c>
      <c r="C7" s="792" t="s">
        <v>61</v>
      </c>
      <c r="D7" s="792" t="s">
        <v>543</v>
      </c>
      <c r="E7" s="955"/>
      <c r="F7" s="955"/>
      <c r="G7" s="955"/>
      <c r="H7" s="955"/>
      <c r="I7" s="955"/>
      <c r="J7" s="955"/>
      <c r="K7" s="955" t="s">
        <v>259</v>
      </c>
      <c r="L7" s="955" t="s">
        <v>259</v>
      </c>
      <c r="M7" s="961"/>
      <c r="N7" s="961"/>
      <c r="O7" s="955" t="s">
        <v>386</v>
      </c>
      <c r="P7" s="955" t="s">
        <v>386</v>
      </c>
      <c r="Q7" s="955" t="s">
        <v>542</v>
      </c>
      <c r="R7" s="955" t="s">
        <v>257</v>
      </c>
    </row>
    <row r="8" spans="2:18" ht="13.8">
      <c r="B8" s="251">
        <v>1</v>
      </c>
      <c r="C8" s="793">
        <v>182.3</v>
      </c>
      <c r="D8" s="794" t="str">
        <f>+'1.5.1b-EDIT Remeasure '!D20</f>
        <v>Net Operating Loss</v>
      </c>
      <c r="E8" s="175">
        <f>+'1.5.2b-EDIT Remeasure'!J20</f>
        <v>0</v>
      </c>
      <c r="F8" s="175">
        <f>Inputs!D277</f>
        <v>0</v>
      </c>
      <c r="G8" s="175">
        <f>E8+F8</f>
        <v>0</v>
      </c>
      <c r="H8" s="175">
        <f>G8-K8-J8-I8</f>
        <v>0</v>
      </c>
      <c r="I8" s="798"/>
      <c r="J8" s="798"/>
      <c r="K8" s="175">
        <f>Inputs!D278</f>
        <v>0</v>
      </c>
      <c r="L8" s="175">
        <f>(F8+K8)/2</f>
        <v>0</v>
      </c>
      <c r="M8" s="798"/>
      <c r="N8" s="798"/>
      <c r="O8" s="798">
        <f>L8</f>
        <v>0</v>
      </c>
      <c r="P8" s="798"/>
      <c r="Q8" s="250"/>
      <c r="R8" s="805"/>
    </row>
    <row r="9" spans="2:18" ht="13.8">
      <c r="B9" s="251">
        <f>+B8+1</f>
        <v>2</v>
      </c>
      <c r="C9" s="793">
        <v>182.3</v>
      </c>
      <c r="D9" s="794" t="str">
        <f>+'1.5.1b-EDIT Remeasure '!D21</f>
        <v>Non-jurisdictional (SD Gas, NE Gas)</v>
      </c>
      <c r="E9" s="175">
        <f>+'1.5.2b-EDIT Remeasure'!J21</f>
        <v>0</v>
      </c>
      <c r="F9" s="175">
        <f>Inputs!D279</f>
        <v>0</v>
      </c>
      <c r="G9" s="175">
        <f>E9+F9</f>
        <v>0</v>
      </c>
      <c r="H9" s="175">
        <f>G9-K9-J9-I9</f>
        <v>0</v>
      </c>
      <c r="I9" s="798"/>
      <c r="J9" s="798"/>
      <c r="K9" s="175">
        <f>Inputs!D280</f>
        <v>0</v>
      </c>
      <c r="L9" s="175">
        <f>(F9+K9)/2</f>
        <v>0</v>
      </c>
      <c r="M9" s="798">
        <f>+L9</f>
        <v>0</v>
      </c>
      <c r="N9" s="798"/>
      <c r="O9" s="798"/>
      <c r="P9" s="798"/>
      <c r="Q9" s="250"/>
      <c r="R9" s="388"/>
    </row>
    <row r="10" spans="2:18" ht="13.8">
      <c r="B10" s="251">
        <f t="shared" ref="B10:B73" si="0">B9+1</f>
        <v>3</v>
      </c>
      <c r="C10" s="387"/>
      <c r="D10" s="388"/>
      <c r="E10" s="175">
        <f>+'1.5.2b-EDIT Remeasure'!J22</f>
        <v>0</v>
      </c>
      <c r="F10" s="798"/>
      <c r="G10" s="175">
        <f>E10+F10</f>
        <v>0</v>
      </c>
      <c r="H10" s="175">
        <f>G10-K10-J10-I10</f>
        <v>0</v>
      </c>
      <c r="I10" s="798"/>
      <c r="J10" s="798"/>
      <c r="K10" s="798"/>
      <c r="L10" s="175">
        <f>(F10+K10)/2</f>
        <v>0</v>
      </c>
      <c r="M10" s="798"/>
      <c r="N10" s="798"/>
      <c r="O10" s="798"/>
      <c r="P10" s="798"/>
      <c r="Q10" s="250"/>
      <c r="R10" s="388"/>
    </row>
    <row r="11" spans="2:18" ht="13.8">
      <c r="B11" s="251">
        <f t="shared" si="0"/>
        <v>4</v>
      </c>
      <c r="C11" s="387"/>
      <c r="D11" s="388"/>
      <c r="E11" s="175">
        <f>+'1.5.2b-EDIT Remeasure'!J23</f>
        <v>0</v>
      </c>
      <c r="F11" s="798"/>
      <c r="G11" s="175">
        <f>E11+F11</f>
        <v>0</v>
      </c>
      <c r="H11" s="175">
        <f>G11-K11-J11-I11</f>
        <v>0</v>
      </c>
      <c r="I11" s="798"/>
      <c r="J11" s="798"/>
      <c r="K11" s="798"/>
      <c r="L11" s="175"/>
      <c r="M11" s="798"/>
      <c r="N11" s="798"/>
      <c r="O11" s="798"/>
      <c r="P11" s="798"/>
      <c r="Q11" s="250"/>
      <c r="R11" s="388"/>
    </row>
    <row r="12" spans="2:18" ht="13.8">
      <c r="B12" s="251">
        <f t="shared" si="0"/>
        <v>5</v>
      </c>
      <c r="C12" s="387"/>
      <c r="D12" s="388"/>
      <c r="E12" s="175">
        <f>+'1.5.2b-EDIT Remeasure'!J24</f>
        <v>0</v>
      </c>
      <c r="F12" s="798"/>
      <c r="G12" s="175">
        <f>E12+F12</f>
        <v>0</v>
      </c>
      <c r="H12" s="175">
        <f>G12-K12-J12-I12</f>
        <v>0</v>
      </c>
      <c r="I12" s="798"/>
      <c r="J12" s="798"/>
      <c r="K12" s="798"/>
      <c r="L12" s="175">
        <f>(F12+K12)/2</f>
        <v>0</v>
      </c>
      <c r="M12" s="798"/>
      <c r="N12" s="798"/>
      <c r="O12" s="798"/>
      <c r="P12" s="798"/>
      <c r="Q12" s="250"/>
      <c r="R12" s="388"/>
    </row>
    <row r="13" spans="2:18" ht="13.8">
      <c r="B13" s="251">
        <f t="shared" si="0"/>
        <v>6</v>
      </c>
      <c r="C13" s="168"/>
      <c r="D13" s="170"/>
      <c r="E13" s="175"/>
      <c r="F13" s="443"/>
      <c r="G13" s="175"/>
      <c r="H13" s="175"/>
      <c r="I13" s="175"/>
      <c r="J13" s="443"/>
      <c r="K13" s="443"/>
      <c r="L13" s="443"/>
      <c r="M13" s="443"/>
      <c r="N13" s="443"/>
      <c r="O13" s="443"/>
      <c r="P13" s="443"/>
      <c r="Q13" s="175"/>
      <c r="R13" s="170"/>
    </row>
    <row r="14" spans="2:18" ht="13.8">
      <c r="B14" s="251">
        <f t="shared" si="0"/>
        <v>7</v>
      </c>
      <c r="C14" s="168"/>
      <c r="D14" s="176" t="s">
        <v>40</v>
      </c>
      <c r="E14" s="175">
        <f t="shared" ref="E14:P14" si="1">SUM(E8:E12)</f>
        <v>0</v>
      </c>
      <c r="F14" s="175">
        <f t="shared" si="1"/>
        <v>0</v>
      </c>
      <c r="G14" s="175">
        <f t="shared" si="1"/>
        <v>0</v>
      </c>
      <c r="H14" s="175">
        <f t="shared" si="1"/>
        <v>0</v>
      </c>
      <c r="I14" s="175">
        <f t="shared" si="1"/>
        <v>0</v>
      </c>
      <c r="J14" s="175">
        <f t="shared" si="1"/>
        <v>0</v>
      </c>
      <c r="K14" s="175">
        <f t="shared" si="1"/>
        <v>0</v>
      </c>
      <c r="L14" s="175">
        <f t="shared" si="1"/>
        <v>0</v>
      </c>
      <c r="M14" s="175">
        <f t="shared" si="1"/>
        <v>0</v>
      </c>
      <c r="N14" s="175">
        <f t="shared" si="1"/>
        <v>0</v>
      </c>
      <c r="O14" s="175">
        <f t="shared" si="1"/>
        <v>0</v>
      </c>
      <c r="P14" s="175">
        <f t="shared" si="1"/>
        <v>0</v>
      </c>
      <c r="Q14" s="175"/>
      <c r="R14" s="170"/>
    </row>
    <row r="15" spans="2:18" ht="13.8">
      <c r="B15" s="251">
        <f t="shared" si="0"/>
        <v>8</v>
      </c>
      <c r="C15" s="383"/>
      <c r="D15" s="176" t="s">
        <v>41</v>
      </c>
      <c r="E15" s="175"/>
      <c r="F15" s="177"/>
      <c r="G15" s="175"/>
      <c r="H15" s="175"/>
      <c r="I15" s="175"/>
      <c r="J15" s="177"/>
      <c r="K15" s="177"/>
      <c r="L15" s="177"/>
      <c r="M15" s="442">
        <f>0</f>
        <v>0</v>
      </c>
      <c r="N15" s="442">
        <f>1</f>
        <v>1</v>
      </c>
      <c r="O15" s="442">
        <f>AppendixA!$H$27</f>
        <v>7.4491583404762904E-2</v>
      </c>
      <c r="P15" s="442">
        <f>AppendixA!$H$16</f>
        <v>4.4161101816983732E-2</v>
      </c>
      <c r="Q15" s="170"/>
      <c r="R15" s="170"/>
    </row>
    <row r="16" spans="2:18" ht="13.8">
      <c r="B16" s="251">
        <f t="shared" si="0"/>
        <v>9</v>
      </c>
      <c r="C16" s="168"/>
      <c r="D16" s="176" t="s">
        <v>1301</v>
      </c>
      <c r="E16" s="175"/>
      <c r="F16" s="175"/>
      <c r="G16" s="175"/>
      <c r="H16" s="175"/>
      <c r="I16" s="175"/>
      <c r="J16" s="175"/>
      <c r="K16" s="175"/>
      <c r="L16" s="175"/>
      <c r="M16" s="175">
        <f>M14*M15</f>
        <v>0</v>
      </c>
      <c r="N16" s="175">
        <f>N14*N15</f>
        <v>0</v>
      </c>
      <c r="O16" s="175">
        <f>O14*O15</f>
        <v>0</v>
      </c>
      <c r="P16" s="175">
        <f>P14*P15</f>
        <v>0</v>
      </c>
      <c r="Q16" s="444">
        <f>SUM(M16:P16)</f>
        <v>0</v>
      </c>
      <c r="R16" s="170"/>
    </row>
    <row r="17" spans="2:18" ht="13.8">
      <c r="B17" s="251">
        <f t="shared" si="0"/>
        <v>10</v>
      </c>
      <c r="C17" s="168"/>
      <c r="D17" s="176"/>
      <c r="E17" s="175"/>
      <c r="F17" s="175"/>
      <c r="G17" s="175"/>
      <c r="H17" s="175"/>
      <c r="I17" s="175"/>
      <c r="J17" s="175"/>
      <c r="K17" s="175"/>
      <c r="L17" s="175"/>
      <c r="M17" s="255"/>
      <c r="N17" s="255"/>
      <c r="O17" s="175"/>
      <c r="P17" s="175"/>
      <c r="Q17" s="175"/>
      <c r="R17" s="170"/>
    </row>
    <row r="18" spans="2:18" ht="13.8">
      <c r="B18" s="251">
        <f t="shared" si="0"/>
        <v>11</v>
      </c>
      <c r="C18" s="168"/>
      <c r="D18" s="176"/>
      <c r="E18" s="175"/>
      <c r="F18" s="175"/>
      <c r="G18" s="175"/>
      <c r="H18" s="175"/>
      <c r="I18" s="175"/>
      <c r="J18" s="175"/>
      <c r="K18" s="175"/>
      <c r="L18" s="175"/>
      <c r="M18" s="255"/>
      <c r="N18" s="255"/>
      <c r="O18" s="175"/>
      <c r="P18" s="175"/>
      <c r="Q18" s="175"/>
      <c r="R18" s="170"/>
    </row>
    <row r="19" spans="2:18" ht="13.8">
      <c r="B19" s="251">
        <f t="shared" si="0"/>
        <v>12</v>
      </c>
      <c r="C19" s="168">
        <v>182.3</v>
      </c>
      <c r="D19" s="794" t="str">
        <f>+'1.5.1b-EDIT Remeasure '!D31</f>
        <v>Regulatory Assets / Liabilities</v>
      </c>
      <c r="E19" s="175">
        <f>+'1.5.2b-EDIT Remeasure'!J31</f>
        <v>0</v>
      </c>
      <c r="F19" s="175">
        <f>Inputs!D281</f>
        <v>0</v>
      </c>
      <c r="G19" s="175">
        <f>E19+F19</f>
        <v>0</v>
      </c>
      <c r="H19" s="175">
        <f>G19-K19-J19-I19</f>
        <v>0</v>
      </c>
      <c r="I19" s="798"/>
      <c r="J19" s="798"/>
      <c r="K19" s="175">
        <f>Inputs!D282</f>
        <v>0</v>
      </c>
      <c r="L19" s="175">
        <f t="shared" ref="L19:L31" si="2">(F19+K19)/2</f>
        <v>0</v>
      </c>
      <c r="M19" s="806"/>
      <c r="N19" s="806"/>
      <c r="O19" s="798"/>
      <c r="P19" s="798"/>
      <c r="Q19" s="175"/>
      <c r="R19" s="807"/>
    </row>
    <row r="20" spans="2:18" ht="13.8">
      <c r="B20" s="251">
        <f t="shared" si="0"/>
        <v>13</v>
      </c>
      <c r="C20" s="793">
        <v>182.3</v>
      </c>
      <c r="D20" s="794" t="str">
        <f>+'1.5.1b-EDIT Remeasure '!D32</f>
        <v>Unbilled Revenue</v>
      </c>
      <c r="E20" s="175">
        <f>+'1.5.2b-EDIT Remeasure'!J32</f>
        <v>0</v>
      </c>
      <c r="F20" s="175">
        <f>Inputs!D283</f>
        <v>0</v>
      </c>
      <c r="G20" s="175">
        <f t="shared" ref="G20:G28" si="3">E20+F20</f>
        <v>0</v>
      </c>
      <c r="H20" s="175">
        <f t="shared" ref="H20:H31" si="4">G20-K20-J20-I20</f>
        <v>0</v>
      </c>
      <c r="I20" s="798"/>
      <c r="J20" s="798"/>
      <c r="K20" s="175">
        <f>Inputs!D284</f>
        <v>0</v>
      </c>
      <c r="L20" s="175">
        <f t="shared" si="2"/>
        <v>0</v>
      </c>
      <c r="M20" s="798"/>
      <c r="N20" s="798"/>
      <c r="O20" s="798">
        <f>L20</f>
        <v>0</v>
      </c>
      <c r="P20" s="798"/>
      <c r="Q20" s="249"/>
      <c r="R20" s="388"/>
    </row>
    <row r="21" spans="2:18" ht="13.8">
      <c r="B21" s="251">
        <f t="shared" si="0"/>
        <v>14</v>
      </c>
      <c r="C21" s="793">
        <v>182.3</v>
      </c>
      <c r="D21" s="794" t="str">
        <f>+'1.5.1b-EDIT Remeasure '!D33</f>
        <v>Compensation Accruals</v>
      </c>
      <c r="E21" s="175">
        <f>+'1.5.2b-EDIT Remeasure'!J33</f>
        <v>0</v>
      </c>
      <c r="F21" s="175">
        <f>Inputs!D285</f>
        <v>0</v>
      </c>
      <c r="G21" s="175">
        <f t="shared" si="3"/>
        <v>0</v>
      </c>
      <c r="H21" s="175">
        <f t="shared" si="4"/>
        <v>0</v>
      </c>
      <c r="I21" s="798"/>
      <c r="J21" s="798"/>
      <c r="K21" s="175">
        <f>Inputs!D286</f>
        <v>0</v>
      </c>
      <c r="L21" s="175">
        <f t="shared" si="2"/>
        <v>0</v>
      </c>
      <c r="M21" s="798"/>
      <c r="N21" s="798"/>
      <c r="O21" s="798"/>
      <c r="P21" s="798">
        <f>L21</f>
        <v>0</v>
      </c>
      <c r="Q21" s="250"/>
      <c r="R21" s="388"/>
    </row>
    <row r="22" spans="2:18" ht="13.8">
      <c r="B22" s="251">
        <f t="shared" si="0"/>
        <v>15</v>
      </c>
      <c r="C22" s="793">
        <v>182.3</v>
      </c>
      <c r="D22" s="794" t="str">
        <f>+'1.5.1b-EDIT Remeasure '!D34</f>
        <v>Reserves &amp; Accruals</v>
      </c>
      <c r="E22" s="175">
        <f>+'1.5.2b-EDIT Remeasure'!J34</f>
        <v>0</v>
      </c>
      <c r="F22" s="175">
        <f>Inputs!D287</f>
        <v>0</v>
      </c>
      <c r="G22" s="175">
        <f t="shared" si="3"/>
        <v>0</v>
      </c>
      <c r="H22" s="175">
        <f t="shared" si="4"/>
        <v>0</v>
      </c>
      <c r="I22" s="798"/>
      <c r="J22" s="798"/>
      <c r="K22" s="175">
        <f>Inputs!D288</f>
        <v>0</v>
      </c>
      <c r="L22" s="175">
        <f t="shared" si="2"/>
        <v>0</v>
      </c>
      <c r="M22" s="798"/>
      <c r="N22" s="798"/>
      <c r="O22" s="798">
        <f>L22</f>
        <v>0</v>
      </c>
      <c r="P22" s="798"/>
      <c r="Q22" s="250"/>
      <c r="R22" s="388"/>
    </row>
    <row r="23" spans="2:18" ht="13.8">
      <c r="B23" s="251">
        <f t="shared" si="0"/>
        <v>16</v>
      </c>
      <c r="C23" s="793">
        <v>182.3</v>
      </c>
      <c r="D23" s="794" t="str">
        <f>+'1.5.1b-EDIT Remeasure '!D35</f>
        <v>Pension / Postretirement Benefits</v>
      </c>
      <c r="E23" s="175">
        <f>+'1.5.2b-EDIT Remeasure'!J35</f>
        <v>0</v>
      </c>
      <c r="F23" s="175">
        <f>Inputs!D289</f>
        <v>0</v>
      </c>
      <c r="G23" s="175">
        <f t="shared" si="3"/>
        <v>0</v>
      </c>
      <c r="H23" s="175">
        <f t="shared" si="4"/>
        <v>0</v>
      </c>
      <c r="I23" s="798"/>
      <c r="J23" s="798"/>
      <c r="K23" s="175">
        <f>Inputs!D290</f>
        <v>0</v>
      </c>
      <c r="L23" s="175">
        <f t="shared" si="2"/>
        <v>0</v>
      </c>
      <c r="M23" s="798"/>
      <c r="N23" s="798"/>
      <c r="O23" s="798"/>
      <c r="P23" s="798">
        <f>L23</f>
        <v>0</v>
      </c>
      <c r="Q23" s="250"/>
      <c r="R23" s="388"/>
    </row>
    <row r="24" spans="2:18" ht="13.8">
      <c r="B24" s="251">
        <f t="shared" si="0"/>
        <v>17</v>
      </c>
      <c r="C24" s="793">
        <v>182.3</v>
      </c>
      <c r="D24" s="794" t="str">
        <f>+'1.5.1b-EDIT Remeasure '!D36</f>
        <v>Environmental Liability</v>
      </c>
      <c r="E24" s="175">
        <f>+'1.5.2b-EDIT Remeasure'!J36</f>
        <v>0</v>
      </c>
      <c r="F24" s="175">
        <f>Inputs!D291</f>
        <v>0</v>
      </c>
      <c r="G24" s="175">
        <f t="shared" si="3"/>
        <v>0</v>
      </c>
      <c r="H24" s="175">
        <f t="shared" si="4"/>
        <v>0</v>
      </c>
      <c r="I24" s="798"/>
      <c r="J24" s="798"/>
      <c r="K24" s="175">
        <f>Inputs!D292</f>
        <v>0</v>
      </c>
      <c r="L24" s="175">
        <f t="shared" si="2"/>
        <v>0</v>
      </c>
      <c r="M24" s="798">
        <f>L24</f>
        <v>0</v>
      </c>
      <c r="N24" s="798"/>
      <c r="O24" s="798"/>
      <c r="P24" s="798"/>
      <c r="Q24" s="250"/>
      <c r="R24" s="388"/>
    </row>
    <row r="25" spans="2:18" ht="13.8">
      <c r="B25" s="251">
        <f t="shared" si="0"/>
        <v>18</v>
      </c>
      <c r="C25" s="793">
        <v>182.3</v>
      </c>
      <c r="D25" s="794" t="str">
        <f>+'1.5.1b-EDIT Remeasure '!D37</f>
        <v>Interest Rate Hedge</v>
      </c>
      <c r="E25" s="175">
        <f>+'1.5.2b-EDIT Remeasure'!J37</f>
        <v>0</v>
      </c>
      <c r="F25" s="175">
        <f>Inputs!D293</f>
        <v>0</v>
      </c>
      <c r="G25" s="175">
        <f>E25+F25</f>
        <v>0</v>
      </c>
      <c r="H25" s="175">
        <f>G25-K25-J25-I25</f>
        <v>0</v>
      </c>
      <c r="I25" s="798"/>
      <c r="J25" s="798"/>
      <c r="K25" s="175">
        <f>Inputs!D294</f>
        <v>0</v>
      </c>
      <c r="L25" s="175">
        <f t="shared" si="2"/>
        <v>0</v>
      </c>
      <c r="M25" s="798"/>
      <c r="N25" s="798"/>
      <c r="O25" s="798"/>
      <c r="P25" s="798"/>
      <c r="Q25" s="250"/>
      <c r="R25" s="388"/>
    </row>
    <row r="26" spans="2:18" ht="13.8">
      <c r="B26" s="251">
        <f t="shared" si="0"/>
        <v>19</v>
      </c>
      <c r="C26" s="793">
        <v>182.3</v>
      </c>
      <c r="D26" s="794" t="str">
        <f>+'1.5.1b-EDIT Remeasure '!D38</f>
        <v>Customer Advances</v>
      </c>
      <c r="E26" s="175">
        <f>+'1.5.2b-EDIT Remeasure'!J38</f>
        <v>0</v>
      </c>
      <c r="F26" s="175">
        <f>Inputs!D295</f>
        <v>0</v>
      </c>
      <c r="G26" s="175">
        <f>E26+F26</f>
        <v>0</v>
      </c>
      <c r="H26" s="175">
        <f t="shared" si="4"/>
        <v>0</v>
      </c>
      <c r="I26" s="798"/>
      <c r="J26" s="798"/>
      <c r="K26" s="175">
        <f>Inputs!D296</f>
        <v>0</v>
      </c>
      <c r="L26" s="175">
        <f t="shared" si="2"/>
        <v>0</v>
      </c>
      <c r="M26" s="798"/>
      <c r="N26" s="798"/>
      <c r="O26" s="798"/>
      <c r="P26" s="798"/>
      <c r="Q26" s="250"/>
      <c r="R26" s="388"/>
    </row>
    <row r="27" spans="2:18" ht="13.8">
      <c r="B27" s="251">
        <f t="shared" si="0"/>
        <v>20</v>
      </c>
      <c r="C27" s="793">
        <v>182.3</v>
      </c>
      <c r="D27" s="794" t="str">
        <f>+'1.5.1b-EDIT Remeasure '!D39</f>
        <v>Net Operating Loss</v>
      </c>
      <c r="E27" s="175">
        <f>+'1.5.2b-EDIT Remeasure'!J39</f>
        <v>0</v>
      </c>
      <c r="F27" s="175">
        <f>Inputs!D297</f>
        <v>0</v>
      </c>
      <c r="G27" s="175">
        <f>E27+F27</f>
        <v>0</v>
      </c>
      <c r="H27" s="175">
        <f>G27-K27-J27-I27</f>
        <v>0</v>
      </c>
      <c r="I27" s="798"/>
      <c r="J27" s="798"/>
      <c r="K27" s="175">
        <f>Inputs!D298</f>
        <v>0</v>
      </c>
      <c r="L27" s="175">
        <f>(F27+K27)/2</f>
        <v>0</v>
      </c>
      <c r="M27" s="798"/>
      <c r="N27" s="798"/>
      <c r="O27" s="798">
        <f>L27</f>
        <v>0</v>
      </c>
      <c r="P27" s="798"/>
      <c r="Q27" s="250"/>
      <c r="R27" s="805"/>
    </row>
    <row r="28" spans="2:18" ht="13.8">
      <c r="B28" s="251">
        <f t="shared" si="0"/>
        <v>21</v>
      </c>
      <c r="C28" s="793">
        <v>182.3</v>
      </c>
      <c r="D28" s="794" t="str">
        <f>+'1.5.1b-EDIT Remeasure '!D40</f>
        <v>Non-jurisdictional (SD Gas, NE Gas)</v>
      </c>
      <c r="E28" s="175">
        <f>+'1.5.2b-EDIT Remeasure'!J40</f>
        <v>0</v>
      </c>
      <c r="F28" s="175">
        <f>Inputs!D299</f>
        <v>0</v>
      </c>
      <c r="G28" s="175">
        <f t="shared" si="3"/>
        <v>0</v>
      </c>
      <c r="H28" s="175">
        <f t="shared" si="4"/>
        <v>0</v>
      </c>
      <c r="I28" s="798"/>
      <c r="J28" s="798"/>
      <c r="K28" s="175">
        <f>Inputs!D300</f>
        <v>0</v>
      </c>
      <c r="L28" s="175">
        <f t="shared" si="2"/>
        <v>0</v>
      </c>
      <c r="M28" s="798">
        <f>L28</f>
        <v>0</v>
      </c>
      <c r="N28" s="798"/>
      <c r="O28" s="798"/>
      <c r="P28" s="798"/>
      <c r="Q28" s="250"/>
      <c r="R28" s="388"/>
    </row>
    <row r="29" spans="2:18" ht="13.8">
      <c r="B29" s="251">
        <f t="shared" si="0"/>
        <v>22</v>
      </c>
      <c r="C29" s="387"/>
      <c r="D29" s="808"/>
      <c r="E29" s="175">
        <f>+'1.5.2b-EDIT Remeasure'!J41</f>
        <v>0</v>
      </c>
      <c r="F29" s="808"/>
      <c r="G29" s="175">
        <f>E29+F29</f>
        <v>0</v>
      </c>
      <c r="H29" s="175">
        <f t="shared" si="4"/>
        <v>0</v>
      </c>
      <c r="I29" s="798"/>
      <c r="J29" s="808"/>
      <c r="K29" s="808"/>
      <c r="L29" s="175">
        <f t="shared" si="2"/>
        <v>0</v>
      </c>
      <c r="M29" s="808"/>
      <c r="N29" s="808"/>
      <c r="O29" s="808"/>
      <c r="P29" s="808"/>
      <c r="R29" s="808"/>
    </row>
    <row r="30" spans="2:18" ht="13.8">
      <c r="B30" s="251">
        <f t="shared" si="0"/>
        <v>23</v>
      </c>
      <c r="C30" s="387"/>
      <c r="D30" s="388"/>
      <c r="E30" s="175">
        <f>+'1.5.2b-EDIT Remeasure'!J42</f>
        <v>0</v>
      </c>
      <c r="F30" s="798"/>
      <c r="G30" s="175">
        <f>E30+F30</f>
        <v>0</v>
      </c>
      <c r="H30" s="175">
        <f t="shared" si="4"/>
        <v>0</v>
      </c>
      <c r="I30" s="798"/>
      <c r="J30" s="798"/>
      <c r="K30" s="798"/>
      <c r="L30" s="175">
        <f t="shared" si="2"/>
        <v>0</v>
      </c>
      <c r="M30" s="798"/>
      <c r="N30" s="798"/>
      <c r="O30" s="798"/>
      <c r="P30" s="798"/>
      <c r="Q30" s="250"/>
      <c r="R30" s="388"/>
    </row>
    <row r="31" spans="2:18" ht="13.8">
      <c r="B31" s="251">
        <f t="shared" si="0"/>
        <v>24</v>
      </c>
      <c r="C31" s="387"/>
      <c r="D31" s="388"/>
      <c r="E31" s="175">
        <f>+'1.5.2b-EDIT Remeasure'!J43</f>
        <v>0</v>
      </c>
      <c r="F31" s="798"/>
      <c r="G31" s="175">
        <f>E31+F31</f>
        <v>0</v>
      </c>
      <c r="H31" s="175">
        <f t="shared" si="4"/>
        <v>0</v>
      </c>
      <c r="I31" s="798"/>
      <c r="J31" s="798"/>
      <c r="K31" s="798"/>
      <c r="L31" s="175">
        <f t="shared" si="2"/>
        <v>0</v>
      </c>
      <c r="M31" s="798"/>
      <c r="N31" s="798"/>
      <c r="O31" s="798"/>
      <c r="P31" s="798"/>
      <c r="Q31" s="250"/>
      <c r="R31" s="388"/>
    </row>
    <row r="32" spans="2:18" ht="13.8">
      <c r="B32" s="251">
        <f t="shared" si="0"/>
        <v>25</v>
      </c>
      <c r="C32" s="168"/>
      <c r="D32" s="170"/>
      <c r="E32" s="175"/>
      <c r="F32" s="443"/>
      <c r="G32" s="175"/>
      <c r="H32" s="175"/>
      <c r="I32" s="175"/>
      <c r="J32" s="443"/>
      <c r="K32" s="443"/>
      <c r="L32" s="443"/>
      <c r="M32" s="443"/>
      <c r="N32" s="443"/>
      <c r="O32" s="443"/>
      <c r="P32" s="443"/>
      <c r="Q32" s="175"/>
      <c r="R32" s="170"/>
    </row>
    <row r="33" spans="2:18" ht="13.8">
      <c r="B33" s="251">
        <f t="shared" si="0"/>
        <v>26</v>
      </c>
      <c r="C33" s="168"/>
      <c r="D33" s="176" t="s">
        <v>40</v>
      </c>
      <c r="E33" s="175">
        <f t="shared" ref="E33:P33" si="5">SUM(E19:E31)</f>
        <v>0</v>
      </c>
      <c r="F33" s="175">
        <f t="shared" si="5"/>
        <v>0</v>
      </c>
      <c r="G33" s="175">
        <f t="shared" si="5"/>
        <v>0</v>
      </c>
      <c r="H33" s="175">
        <f t="shared" si="5"/>
        <v>0</v>
      </c>
      <c r="I33" s="175">
        <f t="shared" si="5"/>
        <v>0</v>
      </c>
      <c r="J33" s="175">
        <f t="shared" si="5"/>
        <v>0</v>
      </c>
      <c r="K33" s="175">
        <f t="shared" si="5"/>
        <v>0</v>
      </c>
      <c r="L33" s="175">
        <f t="shared" si="5"/>
        <v>0</v>
      </c>
      <c r="M33" s="175">
        <f t="shared" si="5"/>
        <v>0</v>
      </c>
      <c r="N33" s="175">
        <f t="shared" si="5"/>
        <v>0</v>
      </c>
      <c r="O33" s="175">
        <f t="shared" si="5"/>
        <v>0</v>
      </c>
      <c r="P33" s="175">
        <f t="shared" si="5"/>
        <v>0</v>
      </c>
      <c r="Q33" s="175"/>
      <c r="R33" s="170"/>
    </row>
    <row r="34" spans="2:18" ht="14.4" thickBot="1">
      <c r="B34" s="251">
        <f t="shared" si="0"/>
        <v>27</v>
      </c>
      <c r="C34" s="168"/>
      <c r="D34" s="176" t="s">
        <v>1314</v>
      </c>
      <c r="E34" s="175"/>
      <c r="F34" s="175">
        <f>F14+F33</f>
        <v>0</v>
      </c>
      <c r="G34" s="175"/>
      <c r="H34" s="175"/>
      <c r="I34" s="175"/>
      <c r="J34" s="175"/>
      <c r="K34" s="175">
        <f>K14+K33</f>
        <v>0</v>
      </c>
      <c r="L34" s="175">
        <f>L14+L33</f>
        <v>0</v>
      </c>
      <c r="M34" s="175"/>
      <c r="N34" s="175"/>
      <c r="O34" s="175"/>
      <c r="P34" s="175"/>
      <c r="Q34" s="175"/>
      <c r="R34" s="170"/>
    </row>
    <row r="35" spans="2:18" ht="28.2" thickBot="1">
      <c r="B35" s="251">
        <f t="shared" si="0"/>
        <v>28</v>
      </c>
      <c r="C35" s="168"/>
      <c r="D35" s="731" t="s">
        <v>1492</v>
      </c>
      <c r="E35" s="175"/>
      <c r="F35" s="854">
        <f>Inputs!D313</f>
        <v>0</v>
      </c>
      <c r="G35" s="809"/>
      <c r="H35" s="809"/>
      <c r="I35" s="809"/>
      <c r="J35" s="809"/>
      <c r="K35" s="854">
        <f>Inputs!D314</f>
        <v>0</v>
      </c>
      <c r="L35" s="175"/>
      <c r="M35" s="175"/>
      <c r="N35" s="175"/>
      <c r="O35" s="175"/>
      <c r="P35" s="175"/>
      <c r="Q35" s="175"/>
      <c r="R35" s="170"/>
    </row>
    <row r="36" spans="2:18" ht="13.8">
      <c r="B36" s="251">
        <f t="shared" si="0"/>
        <v>29</v>
      </c>
      <c r="C36" s="383"/>
      <c r="D36" s="176" t="s">
        <v>41</v>
      </c>
      <c r="E36" s="175"/>
      <c r="F36" s="177"/>
      <c r="G36" s="175"/>
      <c r="H36" s="175"/>
      <c r="I36" s="175"/>
      <c r="J36" s="177"/>
      <c r="K36" s="177"/>
      <c r="L36" s="177"/>
      <c r="M36" s="442">
        <f>+M15</f>
        <v>0</v>
      </c>
      <c r="N36" s="442">
        <f>+N15</f>
        <v>1</v>
      </c>
      <c r="O36" s="442">
        <f>AppendixA!$H$27</f>
        <v>7.4491583404762904E-2</v>
      </c>
      <c r="P36" s="442">
        <f>AppendixA!$H$16</f>
        <v>4.4161101816983732E-2</v>
      </c>
      <c r="Q36" s="170"/>
      <c r="R36" s="170"/>
    </row>
    <row r="37" spans="2:18" ht="13.8">
      <c r="B37" s="251">
        <f t="shared" si="0"/>
        <v>30</v>
      </c>
      <c r="C37" s="168"/>
      <c r="D37" s="176" t="s">
        <v>1302</v>
      </c>
      <c r="E37" s="175"/>
      <c r="F37" s="443"/>
      <c r="G37" s="175"/>
      <c r="H37" s="175"/>
      <c r="I37" s="175"/>
      <c r="J37" s="443"/>
      <c r="K37" s="443"/>
      <c r="L37" s="443"/>
      <c r="M37" s="175">
        <f>M33*M36</f>
        <v>0</v>
      </c>
      <c r="N37" s="175">
        <f>N33*N36</f>
        <v>0</v>
      </c>
      <c r="O37" s="175">
        <f>O33*O36</f>
        <v>0</v>
      </c>
      <c r="P37" s="175">
        <f>P33*P36</f>
        <v>0</v>
      </c>
      <c r="Q37" s="444">
        <f>SUM(M37:P37)</f>
        <v>0</v>
      </c>
      <c r="R37" s="170"/>
    </row>
    <row r="38" spans="2:18" ht="14.4" thickBot="1">
      <c r="B38" s="251">
        <f t="shared" si="0"/>
        <v>31</v>
      </c>
      <c r="C38" s="168"/>
      <c r="D38" s="176"/>
      <c r="E38" s="175"/>
      <c r="F38" s="443"/>
      <c r="G38" s="175"/>
      <c r="H38" s="175"/>
      <c r="I38" s="175"/>
      <c r="J38" s="443"/>
      <c r="K38" s="443"/>
      <c r="L38" s="443"/>
      <c r="M38" s="175"/>
      <c r="N38" s="175"/>
      <c r="O38" s="175"/>
      <c r="P38" s="175"/>
      <c r="Q38" s="443"/>
      <c r="R38" s="170"/>
    </row>
    <row r="39" spans="2:18" ht="28.2" thickBot="1">
      <c r="B39" s="251">
        <f t="shared" si="0"/>
        <v>32</v>
      </c>
      <c r="C39" s="168"/>
      <c r="D39" s="731" t="s">
        <v>1474</v>
      </c>
      <c r="E39" s="175"/>
      <c r="F39" s="443"/>
      <c r="G39" s="175"/>
      <c r="H39" s="175"/>
      <c r="I39" s="175"/>
      <c r="J39" s="443"/>
      <c r="K39" s="443"/>
      <c r="L39" s="443"/>
      <c r="M39" s="443"/>
      <c r="N39" s="443"/>
      <c r="O39" s="443"/>
      <c r="P39" s="443"/>
      <c r="Q39" s="811">
        <f>Q16+Q37</f>
        <v>0</v>
      </c>
      <c r="R39" s="170" t="s">
        <v>1306</v>
      </c>
    </row>
    <row r="40" spans="2:18" ht="13.8">
      <c r="B40" s="251">
        <f t="shared" si="0"/>
        <v>33</v>
      </c>
      <c r="C40" s="168"/>
      <c r="D40" s="176"/>
      <c r="E40" s="175"/>
      <c r="F40" s="443"/>
      <c r="G40" s="175"/>
      <c r="H40" s="175"/>
      <c r="I40" s="175"/>
      <c r="J40" s="443"/>
      <c r="K40" s="443"/>
      <c r="L40" s="443"/>
      <c r="M40" s="443"/>
      <c r="N40" s="443"/>
      <c r="O40" s="443"/>
      <c r="P40" s="443"/>
      <c r="Q40" s="443"/>
      <c r="R40" s="170"/>
    </row>
    <row r="41" spans="2:18" ht="13.8">
      <c r="B41" s="251">
        <f t="shared" si="0"/>
        <v>34</v>
      </c>
      <c r="C41" s="168"/>
      <c r="D41" s="176"/>
      <c r="E41" s="175"/>
      <c r="F41" s="178"/>
      <c r="G41" s="175"/>
      <c r="H41" s="175"/>
      <c r="I41" s="175"/>
      <c r="J41" s="178"/>
      <c r="K41" s="178"/>
      <c r="L41" s="178"/>
      <c r="M41" s="178"/>
      <c r="N41" s="178"/>
      <c r="O41" s="178"/>
      <c r="P41" s="178"/>
      <c r="Q41" s="178"/>
      <c r="R41" s="170"/>
    </row>
    <row r="42" spans="2:18" ht="28.2" customHeight="1">
      <c r="B42" s="251">
        <f t="shared" si="0"/>
        <v>35</v>
      </c>
      <c r="C42" s="793">
        <v>254</v>
      </c>
      <c r="D42" s="794" t="str">
        <f>+'1.5.1b-EDIT Remeasure '!D54</f>
        <v>Accel Depr &amp; Amort. - Protected</v>
      </c>
      <c r="E42" s="175">
        <f>+'1.5.2b-EDIT Remeasure'!J54</f>
        <v>0</v>
      </c>
      <c r="F42" s="175">
        <f>Inputs!D301</f>
        <v>0</v>
      </c>
      <c r="G42" s="175">
        <f>E42+F42</f>
        <v>0</v>
      </c>
      <c r="H42" s="175">
        <f>G42-K42-J42-I42</f>
        <v>0</v>
      </c>
      <c r="I42" s="798"/>
      <c r="J42" s="798"/>
      <c r="K42" s="175">
        <f>Inputs!D302</f>
        <v>0</v>
      </c>
      <c r="L42" s="175">
        <f>(F42+K42)/2</f>
        <v>0</v>
      </c>
      <c r="M42" s="798"/>
      <c r="N42" s="798"/>
      <c r="O42" s="798">
        <f>L42</f>
        <v>0</v>
      </c>
      <c r="P42" s="798"/>
      <c r="Q42" s="812"/>
      <c r="R42" s="388"/>
    </row>
    <row r="43" spans="2:18" ht="13.8">
      <c r="B43" s="251">
        <f t="shared" si="0"/>
        <v>36</v>
      </c>
      <c r="C43" s="793">
        <v>254</v>
      </c>
      <c r="D43" s="794" t="str">
        <f>+'1.5.1b-EDIT Remeasure '!D55</f>
        <v>Non-jurisdictional (SD Gas, NE Gas) - Protected</v>
      </c>
      <c r="E43" s="175">
        <f>+'1.5.2b-EDIT Remeasure'!J55</f>
        <v>0</v>
      </c>
      <c r="F43" s="175">
        <f>Inputs!D303</f>
        <v>0</v>
      </c>
      <c r="G43" s="175">
        <f>E43+F43</f>
        <v>0</v>
      </c>
      <c r="H43" s="175">
        <f>G43-K43-J43-I43</f>
        <v>0</v>
      </c>
      <c r="I43" s="798"/>
      <c r="J43" s="798"/>
      <c r="K43" s="175">
        <f>Inputs!D304</f>
        <v>0</v>
      </c>
      <c r="L43" s="175">
        <f>(F43+K43)/2</f>
        <v>0</v>
      </c>
      <c r="M43" s="798">
        <f>L43</f>
        <v>0</v>
      </c>
      <c r="N43" s="798"/>
      <c r="O43" s="798"/>
      <c r="P43" s="798"/>
      <c r="Q43" s="812"/>
      <c r="R43" s="388"/>
    </row>
    <row r="44" spans="2:18" ht="13.8">
      <c r="B44" s="251">
        <f t="shared" si="0"/>
        <v>37</v>
      </c>
      <c r="C44" s="387"/>
      <c r="D44" s="388"/>
      <c r="E44" s="175">
        <f>+'1.5.2b-EDIT Remeasure'!J56</f>
        <v>0</v>
      </c>
      <c r="F44" s="798"/>
      <c r="G44" s="175">
        <f>E44+F44</f>
        <v>0</v>
      </c>
      <c r="H44" s="175">
        <f>G44-K44-J44-I44</f>
        <v>0</v>
      </c>
      <c r="I44" s="798"/>
      <c r="J44" s="798"/>
      <c r="K44" s="798"/>
      <c r="L44" s="175">
        <f>(F44+K44)/2</f>
        <v>0</v>
      </c>
      <c r="M44" s="798"/>
      <c r="N44" s="798"/>
      <c r="O44" s="798"/>
      <c r="P44" s="798"/>
      <c r="Q44" s="812"/>
      <c r="R44" s="388"/>
    </row>
    <row r="45" spans="2:18" ht="13.8">
      <c r="B45" s="251">
        <f t="shared" si="0"/>
        <v>38</v>
      </c>
      <c r="C45" s="387"/>
      <c r="D45" s="388"/>
      <c r="E45" s="175">
        <f>+'1.5.2b-EDIT Remeasure'!J57</f>
        <v>0</v>
      </c>
      <c r="F45" s="798"/>
      <c r="G45" s="175">
        <f>E45+F45</f>
        <v>0</v>
      </c>
      <c r="H45" s="175">
        <f>G45-K45-J45-I45</f>
        <v>0</v>
      </c>
      <c r="I45" s="798"/>
      <c r="J45" s="798"/>
      <c r="K45" s="798"/>
      <c r="L45" s="175">
        <f>(F45+K45)/2</f>
        <v>0</v>
      </c>
      <c r="M45" s="798"/>
      <c r="N45" s="798"/>
      <c r="O45" s="798"/>
      <c r="P45" s="798"/>
      <c r="Q45" s="812"/>
      <c r="R45" s="388"/>
    </row>
    <row r="46" spans="2:18" ht="13.8">
      <c r="B46" s="251">
        <f t="shared" si="0"/>
        <v>39</v>
      </c>
      <c r="C46" s="387"/>
      <c r="D46" s="388"/>
      <c r="E46" s="175">
        <f>+'1.5.2b-EDIT Remeasure'!J58</f>
        <v>0</v>
      </c>
      <c r="F46" s="798"/>
      <c r="G46" s="175">
        <f>E46+F46</f>
        <v>0</v>
      </c>
      <c r="H46" s="175">
        <f>G46-K46-J46-I46</f>
        <v>0</v>
      </c>
      <c r="I46" s="798"/>
      <c r="J46" s="798"/>
      <c r="K46" s="798"/>
      <c r="L46" s="175">
        <f>(F46+K46)/2</f>
        <v>0</v>
      </c>
      <c r="M46" s="798"/>
      <c r="N46" s="798"/>
      <c r="O46" s="798"/>
      <c r="P46" s="798"/>
      <c r="Q46" s="812"/>
      <c r="R46" s="388"/>
    </row>
    <row r="47" spans="2:18" ht="13.8">
      <c r="B47" s="251">
        <f t="shared" si="0"/>
        <v>40</v>
      </c>
      <c r="C47" s="382"/>
      <c r="D47" s="170"/>
      <c r="E47" s="175"/>
      <c r="F47" s="443"/>
      <c r="G47" s="175"/>
      <c r="H47" s="175"/>
      <c r="I47" s="175"/>
      <c r="J47" s="443"/>
      <c r="K47" s="443"/>
      <c r="L47" s="443"/>
      <c r="M47" s="443"/>
      <c r="N47" s="443"/>
      <c r="O47" s="443"/>
      <c r="P47" s="443"/>
      <c r="Q47" s="443"/>
      <c r="R47" s="179"/>
    </row>
    <row r="48" spans="2:18" ht="13.8">
      <c r="B48" s="251">
        <f t="shared" si="0"/>
        <v>41</v>
      </c>
      <c r="C48" s="382"/>
      <c r="D48" s="180" t="s">
        <v>492</v>
      </c>
      <c r="E48" s="175">
        <f t="shared" ref="E48:P48" si="6">SUM(E42:E46)</f>
        <v>0</v>
      </c>
      <c r="F48" s="175">
        <f t="shared" si="6"/>
        <v>0</v>
      </c>
      <c r="G48" s="175">
        <f t="shared" si="6"/>
        <v>0</v>
      </c>
      <c r="H48" s="175">
        <f t="shared" si="6"/>
        <v>0</v>
      </c>
      <c r="I48" s="175">
        <f t="shared" si="6"/>
        <v>0</v>
      </c>
      <c r="J48" s="175">
        <f t="shared" si="6"/>
        <v>0</v>
      </c>
      <c r="K48" s="175">
        <f t="shared" si="6"/>
        <v>0</v>
      </c>
      <c r="L48" s="175">
        <f t="shared" si="6"/>
        <v>0</v>
      </c>
      <c r="M48" s="175">
        <f t="shared" si="6"/>
        <v>0</v>
      </c>
      <c r="N48" s="175">
        <f t="shared" si="6"/>
        <v>0</v>
      </c>
      <c r="O48" s="175">
        <f t="shared" si="6"/>
        <v>0</v>
      </c>
      <c r="P48" s="175">
        <f t="shared" si="6"/>
        <v>0</v>
      </c>
      <c r="Q48" s="443"/>
      <c r="R48" s="179"/>
    </row>
    <row r="49" spans="2:18" ht="13.8">
      <c r="B49" s="251">
        <f t="shared" si="0"/>
        <v>42</v>
      </c>
      <c r="C49" s="382"/>
      <c r="D49" s="176" t="s">
        <v>41</v>
      </c>
      <c r="E49" s="175"/>
      <c r="F49" s="177"/>
      <c r="G49" s="175"/>
      <c r="H49" s="175"/>
      <c r="I49" s="175"/>
      <c r="J49" s="177"/>
      <c r="K49" s="177"/>
      <c r="L49" s="177"/>
      <c r="M49" s="442">
        <f>M15</f>
        <v>0</v>
      </c>
      <c r="N49" s="442">
        <f>N15</f>
        <v>1</v>
      </c>
      <c r="O49" s="442">
        <f>AppendixA!$H$27</f>
        <v>7.4491583404762904E-2</v>
      </c>
      <c r="P49" s="442">
        <f>AppendixA!$H$16</f>
        <v>4.4161101816983732E-2</v>
      </c>
      <c r="Q49" s="170"/>
      <c r="R49" s="179"/>
    </row>
    <row r="50" spans="2:18" ht="13.8">
      <c r="B50" s="251">
        <f t="shared" si="0"/>
        <v>43</v>
      </c>
      <c r="C50" s="384"/>
      <c r="D50" s="176" t="s">
        <v>1307</v>
      </c>
      <c r="E50" s="175"/>
      <c r="F50" s="443"/>
      <c r="G50" s="175"/>
      <c r="H50" s="175"/>
      <c r="I50" s="175"/>
      <c r="J50" s="443"/>
      <c r="K50" s="443"/>
      <c r="L50" s="443"/>
      <c r="M50" s="175">
        <f>M48*M49</f>
        <v>0</v>
      </c>
      <c r="N50" s="175">
        <f>N48*N49</f>
        <v>0</v>
      </c>
      <c r="O50" s="175">
        <f>O48*O49</f>
        <v>0</v>
      </c>
      <c r="P50" s="175">
        <f>P48*P49</f>
        <v>0</v>
      </c>
      <c r="Q50" s="444">
        <f>SUM(M50:P50)</f>
        <v>0</v>
      </c>
      <c r="R50" s="170"/>
    </row>
    <row r="51" spans="2:18" ht="13.8">
      <c r="B51" s="251">
        <f t="shared" si="0"/>
        <v>44</v>
      </c>
      <c r="C51" s="384"/>
      <c r="D51" s="176"/>
      <c r="E51" s="175"/>
      <c r="F51" s="443"/>
      <c r="G51" s="175"/>
      <c r="H51" s="175"/>
      <c r="I51" s="175"/>
      <c r="J51" s="443"/>
      <c r="K51" s="443"/>
      <c r="L51" s="443"/>
      <c r="M51" s="443"/>
      <c r="N51" s="443"/>
      <c r="O51" s="443"/>
      <c r="P51" s="443"/>
      <c r="Q51" s="443"/>
      <c r="R51" s="170"/>
    </row>
    <row r="52" spans="2:18" ht="13.8">
      <c r="B52" s="251">
        <f t="shared" si="0"/>
        <v>45</v>
      </c>
      <c r="C52" s="384"/>
      <c r="D52" s="176"/>
      <c r="E52" s="175"/>
      <c r="F52" s="443"/>
      <c r="G52" s="175"/>
      <c r="H52" s="175"/>
      <c r="I52" s="175"/>
      <c r="J52" s="443"/>
      <c r="K52" s="443"/>
      <c r="L52" s="443"/>
      <c r="M52" s="443"/>
      <c r="N52" s="443"/>
      <c r="O52" s="443"/>
      <c r="P52" s="443"/>
      <c r="Q52" s="443"/>
      <c r="R52" s="170"/>
    </row>
    <row r="53" spans="2:18" ht="13.8">
      <c r="B53" s="251">
        <f t="shared" si="0"/>
        <v>46</v>
      </c>
      <c r="C53" s="384"/>
      <c r="D53" s="176"/>
      <c r="E53" s="175"/>
      <c r="F53" s="443"/>
      <c r="G53" s="175"/>
      <c r="H53" s="175"/>
      <c r="I53" s="175"/>
      <c r="J53" s="443"/>
      <c r="K53" s="443"/>
      <c r="L53" s="443"/>
      <c r="M53" s="813"/>
      <c r="N53" s="178"/>
      <c r="O53" s="443"/>
      <c r="P53" s="443"/>
      <c r="Q53" s="443"/>
      <c r="R53" s="170"/>
    </row>
    <row r="54" spans="2:18" ht="13.8">
      <c r="B54" s="251">
        <f t="shared" si="0"/>
        <v>47</v>
      </c>
      <c r="C54" s="793">
        <v>254</v>
      </c>
      <c r="D54" s="794" t="str">
        <f>+'1.5.1b-EDIT Remeasure '!D66</f>
        <v>Accel Depr &amp; Amort. - Unprotected (282)</v>
      </c>
      <c r="E54" s="175">
        <f>+'1.5.2b-EDIT Remeasure'!J66</f>
        <v>0</v>
      </c>
      <c r="F54" s="175">
        <f>Inputs!D305</f>
        <v>0</v>
      </c>
      <c r="G54" s="175">
        <f t="shared" ref="G54:G60" si="7">E54+F54</f>
        <v>0</v>
      </c>
      <c r="H54" s="175">
        <f>G54-K54-J54-I54</f>
        <v>0</v>
      </c>
      <c r="I54" s="798"/>
      <c r="J54" s="798"/>
      <c r="K54" s="175">
        <f>Inputs!D306</f>
        <v>0</v>
      </c>
      <c r="L54" s="175">
        <f t="shared" ref="L54:L60" si="8">(F54+K54)/2</f>
        <v>0</v>
      </c>
      <c r="M54" s="798"/>
      <c r="N54" s="798"/>
      <c r="O54" s="798">
        <f>L54</f>
        <v>0</v>
      </c>
      <c r="P54" s="798"/>
      <c r="Q54" s="812"/>
      <c r="R54" s="388"/>
    </row>
    <row r="55" spans="2:18" ht="13.8">
      <c r="B55" s="251">
        <f t="shared" si="0"/>
        <v>48</v>
      </c>
      <c r="C55" s="793">
        <v>254</v>
      </c>
      <c r="D55" s="794" t="str">
        <f>+'1.5.1b-EDIT Remeasure '!D67</f>
        <v>Non-jurisdictional (SD Gas, NE Gas) - Unprotected (282)</v>
      </c>
      <c r="E55" s="175">
        <f>+'1.5.2b-EDIT Remeasure'!J67</f>
        <v>0</v>
      </c>
      <c r="F55" s="175">
        <f>Inputs!D307</f>
        <v>0</v>
      </c>
      <c r="G55" s="175">
        <f t="shared" si="7"/>
        <v>0</v>
      </c>
      <c r="H55" s="175">
        <f t="shared" ref="H55:H60" si="9">G55-K55-J55-I55</f>
        <v>0</v>
      </c>
      <c r="I55" s="798"/>
      <c r="J55" s="798"/>
      <c r="K55" s="175">
        <f>Inputs!D308</f>
        <v>0</v>
      </c>
      <c r="L55" s="175">
        <f t="shared" si="8"/>
        <v>0</v>
      </c>
      <c r="M55" s="798">
        <f>+L55</f>
        <v>0</v>
      </c>
      <c r="N55" s="798"/>
      <c r="O55" s="798"/>
      <c r="P55" s="798"/>
      <c r="Q55" s="812"/>
      <c r="R55" s="388"/>
    </row>
    <row r="56" spans="2:18" ht="13.8">
      <c r="B56" s="251">
        <f t="shared" si="0"/>
        <v>49</v>
      </c>
      <c r="C56" s="793">
        <v>254</v>
      </c>
      <c r="D56" s="794" t="str">
        <f>+'1.5.1b-EDIT Remeasure '!D68</f>
        <v>Regulatory Assets - Unprotected (283)</v>
      </c>
      <c r="E56" s="175">
        <f>+'1.5.2b-EDIT Remeasure'!J68</f>
        <v>0</v>
      </c>
      <c r="F56" s="175">
        <f>Inputs!D309</f>
        <v>0</v>
      </c>
      <c r="G56" s="175">
        <f t="shared" si="7"/>
        <v>0</v>
      </c>
      <c r="H56" s="175">
        <f>G56-K56-J56-I56</f>
        <v>0</v>
      </c>
      <c r="I56" s="798"/>
      <c r="J56" s="798"/>
      <c r="K56" s="175">
        <f>Inputs!D310</f>
        <v>0</v>
      </c>
      <c r="L56" s="175">
        <f t="shared" si="8"/>
        <v>0</v>
      </c>
      <c r="M56" s="798">
        <f>L56</f>
        <v>0</v>
      </c>
      <c r="N56" s="798"/>
      <c r="O56" s="798"/>
      <c r="P56" s="798"/>
      <c r="Q56" s="812"/>
      <c r="R56" s="388"/>
    </row>
    <row r="57" spans="2:18" ht="13.8">
      <c r="B57" s="251">
        <f t="shared" si="0"/>
        <v>50</v>
      </c>
      <c r="C57" s="793">
        <v>254</v>
      </c>
      <c r="D57" s="794" t="str">
        <f>+'1.5.1b-EDIT Remeasure '!D69</f>
        <v>Non-jurisdictional (SD Gas, NE Gas) - Unprotected (283)</v>
      </c>
      <c r="E57" s="175">
        <f>+'1.5.2b-EDIT Remeasure'!J69</f>
        <v>0</v>
      </c>
      <c r="F57" s="175">
        <f>Inputs!D311</f>
        <v>0</v>
      </c>
      <c r="G57" s="175">
        <f t="shared" si="7"/>
        <v>0</v>
      </c>
      <c r="H57" s="175">
        <f t="shared" si="9"/>
        <v>0</v>
      </c>
      <c r="I57" s="798"/>
      <c r="J57" s="798"/>
      <c r="K57" s="175">
        <f>Inputs!D312</f>
        <v>0</v>
      </c>
      <c r="L57" s="175">
        <f t="shared" si="8"/>
        <v>0</v>
      </c>
      <c r="M57" s="798">
        <f>L57</f>
        <v>0</v>
      </c>
      <c r="N57" s="798"/>
      <c r="O57" s="798"/>
      <c r="P57" s="798"/>
      <c r="Q57" s="812"/>
      <c r="R57" s="388"/>
    </row>
    <row r="58" spans="2:18" ht="13.8">
      <c r="B58" s="251">
        <f t="shared" si="0"/>
        <v>51</v>
      </c>
      <c r="C58" s="387"/>
      <c r="D58" s="388"/>
      <c r="E58" s="175">
        <f>+'1.5.2b-EDIT Remeasure'!J70</f>
        <v>0</v>
      </c>
      <c r="F58" s="798"/>
      <c r="G58" s="175">
        <f t="shared" si="7"/>
        <v>0</v>
      </c>
      <c r="H58" s="175">
        <f t="shared" si="9"/>
        <v>0</v>
      </c>
      <c r="I58" s="798"/>
      <c r="J58" s="798"/>
      <c r="K58" s="798"/>
      <c r="L58" s="175">
        <f t="shared" si="8"/>
        <v>0</v>
      </c>
      <c r="M58" s="798"/>
      <c r="N58" s="798"/>
      <c r="O58" s="798"/>
      <c r="P58" s="798"/>
      <c r="Q58" s="812"/>
      <c r="R58" s="388"/>
    </row>
    <row r="59" spans="2:18" ht="13.8">
      <c r="B59" s="251">
        <f t="shared" si="0"/>
        <v>52</v>
      </c>
      <c r="C59" s="387"/>
      <c r="D59" s="388"/>
      <c r="E59" s="175">
        <f>+'1.5.2b-EDIT Remeasure'!J71</f>
        <v>0</v>
      </c>
      <c r="F59" s="798"/>
      <c r="G59" s="175">
        <f t="shared" si="7"/>
        <v>0</v>
      </c>
      <c r="H59" s="175">
        <f t="shared" si="9"/>
        <v>0</v>
      </c>
      <c r="I59" s="798"/>
      <c r="J59" s="798"/>
      <c r="K59" s="798"/>
      <c r="L59" s="175">
        <f t="shared" si="8"/>
        <v>0</v>
      </c>
      <c r="M59" s="798"/>
      <c r="N59" s="798"/>
      <c r="O59" s="798"/>
      <c r="P59" s="798"/>
      <c r="Q59" s="812"/>
      <c r="R59" s="388"/>
    </row>
    <row r="60" spans="2:18" ht="13.8">
      <c r="B60" s="251">
        <f t="shared" si="0"/>
        <v>53</v>
      </c>
      <c r="C60" s="387"/>
      <c r="D60" s="388"/>
      <c r="E60" s="175">
        <f>+'1.5.2b-EDIT Remeasure'!J72</f>
        <v>0</v>
      </c>
      <c r="F60" s="798"/>
      <c r="G60" s="175">
        <f t="shared" si="7"/>
        <v>0</v>
      </c>
      <c r="H60" s="175">
        <f t="shared" si="9"/>
        <v>0</v>
      </c>
      <c r="I60" s="798"/>
      <c r="J60" s="798"/>
      <c r="K60" s="798"/>
      <c r="L60" s="175">
        <f t="shared" si="8"/>
        <v>0</v>
      </c>
      <c r="M60" s="798"/>
      <c r="N60" s="798"/>
      <c r="O60" s="798"/>
      <c r="P60" s="798"/>
      <c r="Q60" s="812"/>
      <c r="R60" s="388"/>
    </row>
    <row r="61" spans="2:18" ht="13.8">
      <c r="B61" s="251">
        <f t="shared" si="0"/>
        <v>54</v>
      </c>
      <c r="C61" s="174"/>
      <c r="D61" s="170"/>
      <c r="E61" s="175"/>
      <c r="F61" s="443"/>
      <c r="G61" s="175"/>
      <c r="H61" s="175"/>
      <c r="I61" s="175"/>
      <c r="J61" s="443"/>
      <c r="K61" s="443"/>
      <c r="L61" s="443"/>
      <c r="M61" s="443"/>
      <c r="N61" s="443"/>
      <c r="O61" s="443"/>
      <c r="P61" s="443"/>
      <c r="Q61" s="443"/>
      <c r="R61" s="170"/>
    </row>
    <row r="62" spans="2:18" ht="13.8">
      <c r="B62" s="251">
        <f t="shared" si="0"/>
        <v>55</v>
      </c>
      <c r="C62" s="174"/>
      <c r="D62" s="176" t="s">
        <v>492</v>
      </c>
      <c r="E62" s="175">
        <f t="shared" ref="E62:P62" si="10">SUM(E54:E60)</f>
        <v>0</v>
      </c>
      <c r="F62" s="175">
        <f t="shared" si="10"/>
        <v>0</v>
      </c>
      <c r="G62" s="175">
        <f t="shared" si="10"/>
        <v>0</v>
      </c>
      <c r="H62" s="175">
        <f t="shared" si="10"/>
        <v>0</v>
      </c>
      <c r="I62" s="175">
        <f t="shared" si="10"/>
        <v>0</v>
      </c>
      <c r="J62" s="175">
        <f t="shared" si="10"/>
        <v>0</v>
      </c>
      <c r="K62" s="175">
        <f t="shared" si="10"/>
        <v>0</v>
      </c>
      <c r="L62" s="175">
        <f t="shared" si="10"/>
        <v>0</v>
      </c>
      <c r="M62" s="175">
        <f t="shared" si="10"/>
        <v>0</v>
      </c>
      <c r="N62" s="175">
        <f t="shared" si="10"/>
        <v>0</v>
      </c>
      <c r="O62" s="175">
        <f t="shared" si="10"/>
        <v>0</v>
      </c>
      <c r="P62" s="175">
        <f t="shared" si="10"/>
        <v>0</v>
      </c>
      <c r="Q62" s="443"/>
      <c r="R62" s="170"/>
    </row>
    <row r="63" spans="2:18" ht="14.4" thickBot="1">
      <c r="B63" s="251">
        <f t="shared" si="0"/>
        <v>56</v>
      </c>
      <c r="C63" s="174"/>
      <c r="D63" s="176" t="s">
        <v>1315</v>
      </c>
      <c r="E63" s="175">
        <f>+E48+E62</f>
        <v>0</v>
      </c>
      <c r="F63" s="175">
        <f>F48+F62</f>
        <v>0</v>
      </c>
      <c r="G63" s="175"/>
      <c r="H63" s="175"/>
      <c r="I63" s="175"/>
      <c r="J63" s="175"/>
      <c r="K63" s="175">
        <f>K48+K62</f>
        <v>0</v>
      </c>
      <c r="L63" s="175">
        <f>L48+L62</f>
        <v>0</v>
      </c>
      <c r="M63" s="443"/>
      <c r="N63" s="443"/>
      <c r="O63" s="443"/>
      <c r="P63" s="443"/>
      <c r="Q63" s="443"/>
      <c r="R63" s="170"/>
    </row>
    <row r="64" spans="2:18" ht="28.2" thickBot="1">
      <c r="B64" s="251">
        <f t="shared" si="0"/>
        <v>57</v>
      </c>
      <c r="C64" s="174"/>
      <c r="D64" s="731" t="s">
        <v>1493</v>
      </c>
      <c r="E64" s="175"/>
      <c r="F64" s="854">
        <f>Inputs!D315</f>
        <v>0</v>
      </c>
      <c r="G64" s="809"/>
      <c r="H64" s="809"/>
      <c r="I64" s="809"/>
      <c r="J64" s="809"/>
      <c r="K64" s="854">
        <f>Inputs!D316</f>
        <v>0</v>
      </c>
      <c r="L64" s="175"/>
      <c r="M64" s="443"/>
      <c r="N64" s="443"/>
      <c r="O64" s="443"/>
      <c r="P64" s="443"/>
      <c r="Q64" s="443"/>
      <c r="R64" s="395"/>
    </row>
    <row r="65" spans="2:18" ht="13.8">
      <c r="B65" s="251">
        <f t="shared" si="0"/>
        <v>58</v>
      </c>
      <c r="C65" s="174"/>
      <c r="D65" s="176" t="s">
        <v>41</v>
      </c>
      <c r="E65" s="177"/>
      <c r="F65" s="177"/>
      <c r="G65" s="175"/>
      <c r="H65" s="175"/>
      <c r="I65" s="175"/>
      <c r="J65" s="177"/>
      <c r="K65" s="177"/>
      <c r="L65" s="177"/>
      <c r="M65" s="442">
        <f>M15</f>
        <v>0</v>
      </c>
      <c r="N65" s="442">
        <f>N15</f>
        <v>1</v>
      </c>
      <c r="O65" s="442">
        <f>AppendixA!$H$27</f>
        <v>7.4491583404762904E-2</v>
      </c>
      <c r="P65" s="442">
        <f>AppendixA!$H$16</f>
        <v>4.4161101816983732E-2</v>
      </c>
      <c r="Q65" s="170"/>
      <c r="R65" s="170"/>
    </row>
    <row r="66" spans="2:18" ht="13.8">
      <c r="B66" s="251">
        <f t="shared" si="0"/>
        <v>59</v>
      </c>
      <c r="C66" s="168"/>
      <c r="D66" s="176" t="s">
        <v>1308</v>
      </c>
      <c r="E66" s="175"/>
      <c r="F66" s="175"/>
      <c r="G66" s="175"/>
      <c r="H66" s="175"/>
      <c r="I66" s="175"/>
      <c r="J66" s="175"/>
      <c r="K66" s="175"/>
      <c r="L66" s="175"/>
      <c r="M66" s="175">
        <f>M62*M65</f>
        <v>0</v>
      </c>
      <c r="N66" s="175">
        <f>N62*N65</f>
        <v>0</v>
      </c>
      <c r="O66" s="175">
        <f>O62*O65</f>
        <v>0</v>
      </c>
      <c r="P66" s="175">
        <f>P62*P65</f>
        <v>0</v>
      </c>
      <c r="Q66" s="444">
        <f>SUM(M66:P66)</f>
        <v>0</v>
      </c>
      <c r="R66" s="170"/>
    </row>
    <row r="67" spans="2:18" ht="14.4" thickBot="1">
      <c r="B67" s="251">
        <f t="shared" si="0"/>
        <v>60</v>
      </c>
      <c r="C67" s="168"/>
      <c r="D67" s="176"/>
      <c r="E67" s="175"/>
      <c r="F67" s="175"/>
      <c r="G67" s="175"/>
      <c r="H67" s="175"/>
      <c r="I67" s="175"/>
      <c r="J67" s="175"/>
      <c r="K67" s="175"/>
      <c r="L67" s="175"/>
      <c r="M67" s="443"/>
      <c r="N67" s="443"/>
      <c r="O67" s="443"/>
      <c r="P67" s="443"/>
      <c r="Q67" s="443"/>
      <c r="R67" s="170"/>
    </row>
    <row r="68" spans="2:18" ht="28.2" thickBot="1">
      <c r="B68" s="251">
        <f t="shared" si="0"/>
        <v>61</v>
      </c>
      <c r="D68" s="731" t="s">
        <v>1506</v>
      </c>
      <c r="E68" s="175"/>
      <c r="F68" s="175"/>
      <c r="G68" s="175"/>
      <c r="H68" s="175"/>
      <c r="I68" s="175"/>
      <c r="J68" s="175"/>
      <c r="K68" s="175"/>
      <c r="L68" s="175"/>
      <c r="M68" s="443"/>
      <c r="N68" s="443"/>
      <c r="O68" s="443"/>
      <c r="P68" s="443"/>
      <c r="Q68" s="811">
        <f>+Q50+Q66</f>
        <v>0</v>
      </c>
      <c r="R68" s="170" t="s">
        <v>1311</v>
      </c>
    </row>
    <row r="69" spans="2:18" ht="13.8">
      <c r="B69" s="251">
        <f t="shared" si="0"/>
        <v>62</v>
      </c>
      <c r="D69" s="731"/>
      <c r="E69" s="175"/>
      <c r="F69" s="175"/>
      <c r="G69" s="175"/>
      <c r="H69" s="175"/>
      <c r="I69" s="175"/>
      <c r="J69" s="175"/>
      <c r="K69" s="175"/>
      <c r="L69" s="175"/>
      <c r="M69" s="443"/>
      <c r="N69" s="443"/>
      <c r="O69" s="443"/>
      <c r="P69" s="443"/>
      <c r="Q69" s="443"/>
      <c r="R69" s="170"/>
    </row>
    <row r="70" spans="2:18" ht="15" customHeight="1">
      <c r="B70" s="251">
        <f t="shared" si="0"/>
        <v>63</v>
      </c>
      <c r="C70" s="962" t="s">
        <v>1438</v>
      </c>
      <c r="D70" s="962"/>
      <c r="E70" s="962"/>
      <c r="F70" s="962"/>
      <c r="G70" s="962"/>
      <c r="H70" s="962"/>
      <c r="I70" s="962"/>
      <c r="J70" s="175"/>
      <c r="K70" s="175"/>
      <c r="L70" s="175"/>
      <c r="M70" s="443"/>
      <c r="N70" s="443"/>
      <c r="O70" s="443"/>
      <c r="P70" s="443"/>
      <c r="Q70" s="443"/>
      <c r="R70" s="170"/>
    </row>
    <row r="71" spans="2:18" ht="13.8">
      <c r="B71" s="251">
        <f t="shared" si="0"/>
        <v>64</v>
      </c>
      <c r="D71" s="731"/>
      <c r="E71" s="175"/>
      <c r="F71" s="175"/>
      <c r="G71" s="175"/>
      <c r="H71" s="175"/>
      <c r="I71" s="175"/>
      <c r="J71" s="175"/>
      <c r="K71" s="175"/>
      <c r="L71" s="175"/>
      <c r="M71" s="443"/>
      <c r="N71" s="443"/>
      <c r="O71" s="443"/>
      <c r="P71" s="443"/>
      <c r="Q71" s="443"/>
      <c r="R71" s="170"/>
    </row>
    <row r="72" spans="2:18" ht="15" customHeight="1">
      <c r="B72" s="251">
        <f t="shared" si="0"/>
        <v>65</v>
      </c>
      <c r="C72" s="962" t="s">
        <v>1436</v>
      </c>
      <c r="D72" s="962"/>
      <c r="E72" s="962"/>
      <c r="F72" s="962"/>
      <c r="G72" s="962"/>
      <c r="H72" s="962"/>
      <c r="I72" s="855"/>
      <c r="J72" s="175"/>
      <c r="K72" s="175"/>
      <c r="L72" s="175"/>
      <c r="M72" s="443"/>
      <c r="N72" s="443"/>
      <c r="O72" s="443"/>
      <c r="P72" s="443"/>
      <c r="Q72" s="443"/>
      <c r="R72" s="170"/>
    </row>
    <row r="73" spans="2:18" ht="13.8">
      <c r="B73" s="251">
        <f t="shared" si="0"/>
        <v>66</v>
      </c>
      <c r="D73" s="731"/>
      <c r="E73" s="175"/>
      <c r="F73" s="175"/>
      <c r="G73" s="175"/>
      <c r="H73" s="175"/>
      <c r="I73" s="175"/>
      <c r="J73" s="175"/>
      <c r="K73" s="175"/>
      <c r="L73" s="175"/>
      <c r="M73" s="443"/>
      <c r="N73" s="443"/>
      <c r="O73" s="443"/>
      <c r="P73" s="443"/>
      <c r="Q73" s="443"/>
      <c r="R73" s="170"/>
    </row>
    <row r="74" spans="2:18" ht="15" customHeight="1">
      <c r="B74" s="251">
        <f>B73+1</f>
        <v>67</v>
      </c>
      <c r="C74" s="962" t="s">
        <v>1437</v>
      </c>
      <c r="D74" s="962"/>
      <c r="E74" s="962"/>
      <c r="F74" s="962"/>
      <c r="G74" s="962"/>
      <c r="H74" s="962"/>
      <c r="I74" s="853"/>
      <c r="J74" s="175"/>
      <c r="K74" s="175"/>
      <c r="L74" s="175"/>
      <c r="M74" s="443"/>
      <c r="N74" s="443"/>
      <c r="O74" s="443"/>
      <c r="P74" s="443"/>
      <c r="Q74" s="443"/>
      <c r="R74" s="170"/>
    </row>
    <row r="75" spans="2:18" ht="13.8">
      <c r="B75" s="251">
        <f>B74+1</f>
        <v>68</v>
      </c>
      <c r="C75" s="732"/>
      <c r="D75" s="732"/>
      <c r="E75" s="732"/>
      <c r="F75" s="732"/>
      <c r="G75" s="732"/>
      <c r="H75" s="732"/>
      <c r="I75" s="732"/>
      <c r="J75" s="175"/>
      <c r="K75" s="175"/>
      <c r="L75" s="175"/>
      <c r="M75" s="443"/>
      <c r="N75" s="443"/>
      <c r="O75" s="443"/>
      <c r="P75" s="443"/>
      <c r="Q75" s="443"/>
      <c r="R75" s="170"/>
    </row>
    <row r="76" spans="2:18" ht="13.8">
      <c r="B76" s="251">
        <f>B75+1</f>
        <v>69</v>
      </c>
      <c r="C76" s="963" t="s">
        <v>1500</v>
      </c>
      <c r="D76" s="963"/>
      <c r="E76" s="963"/>
      <c r="F76" s="963"/>
      <c r="G76" s="963"/>
      <c r="H76" s="963"/>
      <c r="I76" s="963"/>
      <c r="J76" s="175"/>
      <c r="K76" s="175"/>
      <c r="L76" s="175"/>
      <c r="M76" s="443"/>
      <c r="N76" s="443"/>
      <c r="O76" s="443"/>
      <c r="P76" s="443"/>
      <c r="Q76" s="443"/>
      <c r="R76" s="170"/>
    </row>
    <row r="77" spans="2:18" ht="13.8">
      <c r="B77" s="251">
        <f>B76+1</f>
        <v>70</v>
      </c>
      <c r="C77" s="732"/>
      <c r="D77" s="732"/>
      <c r="E77" s="732"/>
      <c r="F77" s="732"/>
      <c r="G77" s="732"/>
      <c r="H77" s="732"/>
      <c r="I77" s="732"/>
      <c r="J77" s="175"/>
      <c r="K77" s="175"/>
      <c r="L77" s="175"/>
      <c r="M77" s="443"/>
      <c r="N77" s="443"/>
      <c r="O77" s="443"/>
      <c r="P77" s="443"/>
      <c r="Q77" s="443"/>
      <c r="R77" s="170"/>
    </row>
    <row r="78" spans="2:18" ht="13.8">
      <c r="B78" s="251">
        <f>B77+1</f>
        <v>71</v>
      </c>
      <c r="C78" s="962" t="s">
        <v>1440</v>
      </c>
      <c r="D78" s="962"/>
      <c r="E78" s="962"/>
      <c r="F78" s="962"/>
      <c r="G78" s="962"/>
      <c r="H78" s="962"/>
      <c r="I78" s="962"/>
      <c r="J78" s="175"/>
      <c r="K78" s="175"/>
      <c r="L78" s="175"/>
      <c r="M78" s="443"/>
      <c r="N78" s="443"/>
      <c r="O78" s="443"/>
      <c r="P78" s="443"/>
      <c r="Q78" s="443"/>
      <c r="R78" s="170"/>
    </row>
    <row r="79" spans="2:18" ht="13.8">
      <c r="B79" s="251"/>
      <c r="D79" s="731"/>
      <c r="E79" s="175"/>
      <c r="F79" s="175"/>
      <c r="G79" s="175"/>
      <c r="H79" s="175"/>
      <c r="I79" s="175"/>
      <c r="J79" s="175"/>
      <c r="K79" s="175"/>
      <c r="L79" s="175"/>
      <c r="M79" s="443"/>
      <c r="N79" s="443"/>
      <c r="O79" s="443"/>
      <c r="P79" s="443"/>
      <c r="Q79" s="443"/>
      <c r="R79" s="170"/>
    </row>
    <row r="80" spans="2:18" ht="13.8">
      <c r="B80" s="953" t="s">
        <v>1494</v>
      </c>
      <c r="C80" s="953"/>
      <c r="D80" s="953"/>
      <c r="E80" s="953"/>
      <c r="F80" s="953"/>
      <c r="G80" s="953"/>
      <c r="H80" s="953"/>
      <c r="I80" s="953"/>
      <c r="J80" s="953"/>
      <c r="K80" s="953"/>
      <c r="L80" s="953"/>
      <c r="M80" s="953"/>
      <c r="N80" s="953"/>
      <c r="O80" s="953"/>
      <c r="P80" s="953"/>
      <c r="Q80" s="953"/>
      <c r="R80" s="953"/>
    </row>
    <row r="81" spans="2:18" ht="13.8">
      <c r="B81" s="943" t="s">
        <v>504</v>
      </c>
      <c r="C81" s="943"/>
      <c r="D81" s="943"/>
      <c r="E81" s="943"/>
      <c r="F81" s="943"/>
      <c r="G81" s="943"/>
      <c r="H81" s="943"/>
      <c r="I81" s="943"/>
      <c r="J81" s="943"/>
      <c r="K81" s="943"/>
      <c r="L81" s="943"/>
      <c r="M81" s="943"/>
      <c r="N81" s="943"/>
      <c r="O81" s="943"/>
      <c r="P81" s="943"/>
      <c r="Q81" s="943"/>
      <c r="R81" s="943"/>
    </row>
  </sheetData>
  <mergeCells count="23">
    <mergeCell ref="B81:R81"/>
    <mergeCell ref="C70:I70"/>
    <mergeCell ref="C72:H72"/>
    <mergeCell ref="C74:H74"/>
    <mergeCell ref="C76:I76"/>
    <mergeCell ref="C78:I78"/>
    <mergeCell ref="B80:R80"/>
    <mergeCell ref="R5:R7"/>
    <mergeCell ref="B1:R1"/>
    <mergeCell ref="B2:R2"/>
    <mergeCell ref="E5:E7"/>
    <mergeCell ref="F5:F7"/>
    <mergeCell ref="G5:G7"/>
    <mergeCell ref="H5:H7"/>
    <mergeCell ref="I5:I7"/>
    <mergeCell ref="J5:J7"/>
    <mergeCell ref="K5:K7"/>
    <mergeCell ref="L5:L7"/>
    <mergeCell ref="M5:M7"/>
    <mergeCell ref="N5:N7"/>
    <mergeCell ref="O5:O7"/>
    <mergeCell ref="P5:P7"/>
    <mergeCell ref="Q5:Q7"/>
  </mergeCells>
  <printOptions horizontalCentered="1"/>
  <pageMargins left="0.7" right="0.7" top="0.75" bottom="0.75" header="0.3" footer="0.3"/>
  <pageSetup scale="38" orientation="landscape" r:id="rId1"/>
  <headerFooter>
    <oddHeader>&amp;C&amp;"Arial,Bold"ADDENDUM 27 TO ATTACHMENT H, Page &amp;P of &amp;N
NorthWestern Corporation (South Dakota)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0"/>
  <sheetViews>
    <sheetView zoomScale="60" zoomScaleNormal="60" workbookViewId="0">
      <selection sqref="A1:K1"/>
    </sheetView>
  </sheetViews>
  <sheetFormatPr defaultRowHeight="13.2"/>
  <cols>
    <col min="1" max="1" width="2" style="791" customWidth="1"/>
    <col min="2" max="2" width="5.6640625" style="791" customWidth="1"/>
    <col min="3" max="3" width="8.33203125" style="804" customWidth="1"/>
    <col min="4" max="4" width="51.33203125" style="791" customWidth="1"/>
    <col min="5" max="10" width="19.5546875" style="791" customWidth="1"/>
    <col min="11" max="11" width="28.6640625" style="791" customWidth="1"/>
    <col min="12" max="256" width="9.109375" style="791"/>
    <col min="257" max="257" width="2" style="791" customWidth="1"/>
    <col min="258" max="258" width="5.6640625" style="791" customWidth="1"/>
    <col min="259" max="259" width="8.33203125" style="791" customWidth="1"/>
    <col min="260" max="260" width="51.33203125" style="791" customWidth="1"/>
    <col min="261" max="266" width="19.5546875" style="791" customWidth="1"/>
    <col min="267" max="267" width="50.5546875" style="791" customWidth="1"/>
    <col min="268" max="512" width="9.109375" style="791"/>
    <col min="513" max="513" width="2" style="791" customWidth="1"/>
    <col min="514" max="514" width="5.6640625" style="791" customWidth="1"/>
    <col min="515" max="515" width="8.33203125" style="791" customWidth="1"/>
    <col min="516" max="516" width="51.33203125" style="791" customWidth="1"/>
    <col min="517" max="522" width="19.5546875" style="791" customWidth="1"/>
    <col min="523" max="523" width="50.5546875" style="791" customWidth="1"/>
    <col min="524" max="768" width="9.109375" style="791"/>
    <col min="769" max="769" width="2" style="791" customWidth="1"/>
    <col min="770" max="770" width="5.6640625" style="791" customWidth="1"/>
    <col min="771" max="771" width="8.33203125" style="791" customWidth="1"/>
    <col min="772" max="772" width="51.33203125" style="791" customWidth="1"/>
    <col min="773" max="778" width="19.5546875" style="791" customWidth="1"/>
    <col min="779" max="779" width="50.5546875" style="791" customWidth="1"/>
    <col min="780" max="1024" width="9.109375" style="791"/>
    <col min="1025" max="1025" width="2" style="791" customWidth="1"/>
    <col min="1026" max="1026" width="5.6640625" style="791" customWidth="1"/>
    <col min="1027" max="1027" width="8.33203125" style="791" customWidth="1"/>
    <col min="1028" max="1028" width="51.33203125" style="791" customWidth="1"/>
    <col min="1029" max="1034" width="19.5546875" style="791" customWidth="1"/>
    <col min="1035" max="1035" width="50.5546875" style="791" customWidth="1"/>
    <col min="1036" max="1280" width="9.109375" style="791"/>
    <col min="1281" max="1281" width="2" style="791" customWidth="1"/>
    <col min="1282" max="1282" width="5.6640625" style="791" customWidth="1"/>
    <col min="1283" max="1283" width="8.33203125" style="791" customWidth="1"/>
    <col min="1284" max="1284" width="51.33203125" style="791" customWidth="1"/>
    <col min="1285" max="1290" width="19.5546875" style="791" customWidth="1"/>
    <col min="1291" max="1291" width="50.5546875" style="791" customWidth="1"/>
    <col min="1292" max="1536" width="9.109375" style="791"/>
    <col min="1537" max="1537" width="2" style="791" customWidth="1"/>
    <col min="1538" max="1538" width="5.6640625" style="791" customWidth="1"/>
    <col min="1539" max="1539" width="8.33203125" style="791" customWidth="1"/>
    <col min="1540" max="1540" width="51.33203125" style="791" customWidth="1"/>
    <col min="1541" max="1546" width="19.5546875" style="791" customWidth="1"/>
    <col min="1547" max="1547" width="50.5546875" style="791" customWidth="1"/>
    <col min="1548" max="1792" width="9.109375" style="791"/>
    <col min="1793" max="1793" width="2" style="791" customWidth="1"/>
    <col min="1794" max="1794" width="5.6640625" style="791" customWidth="1"/>
    <col min="1795" max="1795" width="8.33203125" style="791" customWidth="1"/>
    <col min="1796" max="1796" width="51.33203125" style="791" customWidth="1"/>
    <col min="1797" max="1802" width="19.5546875" style="791" customWidth="1"/>
    <col min="1803" max="1803" width="50.5546875" style="791" customWidth="1"/>
    <col min="1804" max="2048" width="9.109375" style="791"/>
    <col min="2049" max="2049" width="2" style="791" customWidth="1"/>
    <col min="2050" max="2050" width="5.6640625" style="791" customWidth="1"/>
    <col min="2051" max="2051" width="8.33203125" style="791" customWidth="1"/>
    <col min="2052" max="2052" width="51.33203125" style="791" customWidth="1"/>
    <col min="2053" max="2058" width="19.5546875" style="791" customWidth="1"/>
    <col min="2059" max="2059" width="50.5546875" style="791" customWidth="1"/>
    <col min="2060" max="2304" width="9.109375" style="791"/>
    <col min="2305" max="2305" width="2" style="791" customWidth="1"/>
    <col min="2306" max="2306" width="5.6640625" style="791" customWidth="1"/>
    <col min="2307" max="2307" width="8.33203125" style="791" customWidth="1"/>
    <col min="2308" max="2308" width="51.33203125" style="791" customWidth="1"/>
    <col min="2309" max="2314" width="19.5546875" style="791" customWidth="1"/>
    <col min="2315" max="2315" width="50.5546875" style="791" customWidth="1"/>
    <col min="2316" max="2560" width="9.109375" style="791"/>
    <col min="2561" max="2561" width="2" style="791" customWidth="1"/>
    <col min="2562" max="2562" width="5.6640625" style="791" customWidth="1"/>
    <col min="2563" max="2563" width="8.33203125" style="791" customWidth="1"/>
    <col min="2564" max="2564" width="51.33203125" style="791" customWidth="1"/>
    <col min="2565" max="2570" width="19.5546875" style="791" customWidth="1"/>
    <col min="2571" max="2571" width="50.5546875" style="791" customWidth="1"/>
    <col min="2572" max="2816" width="9.109375" style="791"/>
    <col min="2817" max="2817" width="2" style="791" customWidth="1"/>
    <col min="2818" max="2818" width="5.6640625" style="791" customWidth="1"/>
    <col min="2819" max="2819" width="8.33203125" style="791" customWidth="1"/>
    <col min="2820" max="2820" width="51.33203125" style="791" customWidth="1"/>
    <col min="2821" max="2826" width="19.5546875" style="791" customWidth="1"/>
    <col min="2827" max="2827" width="50.5546875" style="791" customWidth="1"/>
    <col min="2828" max="3072" width="9.109375" style="791"/>
    <col min="3073" max="3073" width="2" style="791" customWidth="1"/>
    <col min="3074" max="3074" width="5.6640625" style="791" customWidth="1"/>
    <col min="3075" max="3075" width="8.33203125" style="791" customWidth="1"/>
    <col min="3076" max="3076" width="51.33203125" style="791" customWidth="1"/>
    <col min="3077" max="3082" width="19.5546875" style="791" customWidth="1"/>
    <col min="3083" max="3083" width="50.5546875" style="791" customWidth="1"/>
    <col min="3084" max="3328" width="9.109375" style="791"/>
    <col min="3329" max="3329" width="2" style="791" customWidth="1"/>
    <col min="3330" max="3330" width="5.6640625" style="791" customWidth="1"/>
    <col min="3331" max="3331" width="8.33203125" style="791" customWidth="1"/>
    <col min="3332" max="3332" width="51.33203125" style="791" customWidth="1"/>
    <col min="3333" max="3338" width="19.5546875" style="791" customWidth="1"/>
    <col min="3339" max="3339" width="50.5546875" style="791" customWidth="1"/>
    <col min="3340" max="3584" width="9.109375" style="791"/>
    <col min="3585" max="3585" width="2" style="791" customWidth="1"/>
    <col min="3586" max="3586" width="5.6640625" style="791" customWidth="1"/>
    <col min="3587" max="3587" width="8.33203125" style="791" customWidth="1"/>
    <col min="3588" max="3588" width="51.33203125" style="791" customWidth="1"/>
    <col min="3589" max="3594" width="19.5546875" style="791" customWidth="1"/>
    <col min="3595" max="3595" width="50.5546875" style="791" customWidth="1"/>
    <col min="3596" max="3840" width="9.109375" style="791"/>
    <col min="3841" max="3841" width="2" style="791" customWidth="1"/>
    <col min="3842" max="3842" width="5.6640625" style="791" customWidth="1"/>
    <col min="3843" max="3843" width="8.33203125" style="791" customWidth="1"/>
    <col min="3844" max="3844" width="51.33203125" style="791" customWidth="1"/>
    <col min="3845" max="3850" width="19.5546875" style="791" customWidth="1"/>
    <col min="3851" max="3851" width="50.5546875" style="791" customWidth="1"/>
    <col min="3852" max="4096" width="9.109375" style="791"/>
    <col min="4097" max="4097" width="2" style="791" customWidth="1"/>
    <col min="4098" max="4098" width="5.6640625" style="791" customWidth="1"/>
    <col min="4099" max="4099" width="8.33203125" style="791" customWidth="1"/>
    <col min="4100" max="4100" width="51.33203125" style="791" customWidth="1"/>
    <col min="4101" max="4106" width="19.5546875" style="791" customWidth="1"/>
    <col min="4107" max="4107" width="50.5546875" style="791" customWidth="1"/>
    <col min="4108" max="4352" width="9.109375" style="791"/>
    <col min="4353" max="4353" width="2" style="791" customWidth="1"/>
    <col min="4354" max="4354" width="5.6640625" style="791" customWidth="1"/>
    <col min="4355" max="4355" width="8.33203125" style="791" customWidth="1"/>
    <col min="4356" max="4356" width="51.33203125" style="791" customWidth="1"/>
    <col min="4357" max="4362" width="19.5546875" style="791" customWidth="1"/>
    <col min="4363" max="4363" width="50.5546875" style="791" customWidth="1"/>
    <col min="4364" max="4608" width="9.109375" style="791"/>
    <col min="4609" max="4609" width="2" style="791" customWidth="1"/>
    <col min="4610" max="4610" width="5.6640625" style="791" customWidth="1"/>
    <col min="4611" max="4611" width="8.33203125" style="791" customWidth="1"/>
    <col min="4612" max="4612" width="51.33203125" style="791" customWidth="1"/>
    <col min="4613" max="4618" width="19.5546875" style="791" customWidth="1"/>
    <col min="4619" max="4619" width="50.5546875" style="791" customWidth="1"/>
    <col min="4620" max="4864" width="9.109375" style="791"/>
    <col min="4865" max="4865" width="2" style="791" customWidth="1"/>
    <col min="4866" max="4866" width="5.6640625" style="791" customWidth="1"/>
    <col min="4867" max="4867" width="8.33203125" style="791" customWidth="1"/>
    <col min="4868" max="4868" width="51.33203125" style="791" customWidth="1"/>
    <col min="4869" max="4874" width="19.5546875" style="791" customWidth="1"/>
    <col min="4875" max="4875" width="50.5546875" style="791" customWidth="1"/>
    <col min="4876" max="5120" width="9.109375" style="791"/>
    <col min="5121" max="5121" width="2" style="791" customWidth="1"/>
    <col min="5122" max="5122" width="5.6640625" style="791" customWidth="1"/>
    <col min="5123" max="5123" width="8.33203125" style="791" customWidth="1"/>
    <col min="5124" max="5124" width="51.33203125" style="791" customWidth="1"/>
    <col min="5125" max="5130" width="19.5546875" style="791" customWidth="1"/>
    <col min="5131" max="5131" width="50.5546875" style="791" customWidth="1"/>
    <col min="5132" max="5376" width="9.109375" style="791"/>
    <col min="5377" max="5377" width="2" style="791" customWidth="1"/>
    <col min="5378" max="5378" width="5.6640625" style="791" customWidth="1"/>
    <col min="5379" max="5379" width="8.33203125" style="791" customWidth="1"/>
    <col min="5380" max="5380" width="51.33203125" style="791" customWidth="1"/>
    <col min="5381" max="5386" width="19.5546875" style="791" customWidth="1"/>
    <col min="5387" max="5387" width="50.5546875" style="791" customWidth="1"/>
    <col min="5388" max="5632" width="9.109375" style="791"/>
    <col min="5633" max="5633" width="2" style="791" customWidth="1"/>
    <col min="5634" max="5634" width="5.6640625" style="791" customWidth="1"/>
    <col min="5635" max="5635" width="8.33203125" style="791" customWidth="1"/>
    <col min="5636" max="5636" width="51.33203125" style="791" customWidth="1"/>
    <col min="5637" max="5642" width="19.5546875" style="791" customWidth="1"/>
    <col min="5643" max="5643" width="50.5546875" style="791" customWidth="1"/>
    <col min="5644" max="5888" width="9.109375" style="791"/>
    <col min="5889" max="5889" width="2" style="791" customWidth="1"/>
    <col min="5890" max="5890" width="5.6640625" style="791" customWidth="1"/>
    <col min="5891" max="5891" width="8.33203125" style="791" customWidth="1"/>
    <col min="5892" max="5892" width="51.33203125" style="791" customWidth="1"/>
    <col min="5893" max="5898" width="19.5546875" style="791" customWidth="1"/>
    <col min="5899" max="5899" width="50.5546875" style="791" customWidth="1"/>
    <col min="5900" max="6144" width="9.109375" style="791"/>
    <col min="6145" max="6145" width="2" style="791" customWidth="1"/>
    <col min="6146" max="6146" width="5.6640625" style="791" customWidth="1"/>
    <col min="6147" max="6147" width="8.33203125" style="791" customWidth="1"/>
    <col min="6148" max="6148" width="51.33203125" style="791" customWidth="1"/>
    <col min="6149" max="6154" width="19.5546875" style="791" customWidth="1"/>
    <col min="6155" max="6155" width="50.5546875" style="791" customWidth="1"/>
    <col min="6156" max="6400" width="9.109375" style="791"/>
    <col min="6401" max="6401" width="2" style="791" customWidth="1"/>
    <col min="6402" max="6402" width="5.6640625" style="791" customWidth="1"/>
    <col min="6403" max="6403" width="8.33203125" style="791" customWidth="1"/>
    <col min="6404" max="6404" width="51.33203125" style="791" customWidth="1"/>
    <col min="6405" max="6410" width="19.5546875" style="791" customWidth="1"/>
    <col min="6411" max="6411" width="50.5546875" style="791" customWidth="1"/>
    <col min="6412" max="6656" width="9.109375" style="791"/>
    <col min="6657" max="6657" width="2" style="791" customWidth="1"/>
    <col min="6658" max="6658" width="5.6640625" style="791" customWidth="1"/>
    <col min="6659" max="6659" width="8.33203125" style="791" customWidth="1"/>
    <col min="6660" max="6660" width="51.33203125" style="791" customWidth="1"/>
    <col min="6661" max="6666" width="19.5546875" style="791" customWidth="1"/>
    <col min="6667" max="6667" width="50.5546875" style="791" customWidth="1"/>
    <col min="6668" max="6912" width="9.109375" style="791"/>
    <col min="6913" max="6913" width="2" style="791" customWidth="1"/>
    <col min="6914" max="6914" width="5.6640625" style="791" customWidth="1"/>
    <col min="6915" max="6915" width="8.33203125" style="791" customWidth="1"/>
    <col min="6916" max="6916" width="51.33203125" style="791" customWidth="1"/>
    <col min="6917" max="6922" width="19.5546875" style="791" customWidth="1"/>
    <col min="6923" max="6923" width="50.5546875" style="791" customWidth="1"/>
    <col min="6924" max="7168" width="9.109375" style="791"/>
    <col min="7169" max="7169" width="2" style="791" customWidth="1"/>
    <col min="7170" max="7170" width="5.6640625" style="791" customWidth="1"/>
    <col min="7171" max="7171" width="8.33203125" style="791" customWidth="1"/>
    <col min="7172" max="7172" width="51.33203125" style="791" customWidth="1"/>
    <col min="7173" max="7178" width="19.5546875" style="791" customWidth="1"/>
    <col min="7179" max="7179" width="50.5546875" style="791" customWidth="1"/>
    <col min="7180" max="7424" width="9.109375" style="791"/>
    <col min="7425" max="7425" width="2" style="791" customWidth="1"/>
    <col min="7426" max="7426" width="5.6640625" style="791" customWidth="1"/>
    <col min="7427" max="7427" width="8.33203125" style="791" customWidth="1"/>
    <col min="7428" max="7428" width="51.33203125" style="791" customWidth="1"/>
    <col min="7429" max="7434" width="19.5546875" style="791" customWidth="1"/>
    <col min="7435" max="7435" width="50.5546875" style="791" customWidth="1"/>
    <col min="7436" max="7680" width="9.109375" style="791"/>
    <col min="7681" max="7681" width="2" style="791" customWidth="1"/>
    <col min="7682" max="7682" width="5.6640625" style="791" customWidth="1"/>
    <col min="7683" max="7683" width="8.33203125" style="791" customWidth="1"/>
    <col min="7684" max="7684" width="51.33203125" style="791" customWidth="1"/>
    <col min="7685" max="7690" width="19.5546875" style="791" customWidth="1"/>
    <col min="7691" max="7691" width="50.5546875" style="791" customWidth="1"/>
    <col min="7692" max="7936" width="9.109375" style="791"/>
    <col min="7937" max="7937" width="2" style="791" customWidth="1"/>
    <col min="7938" max="7938" width="5.6640625" style="791" customWidth="1"/>
    <col min="7939" max="7939" width="8.33203125" style="791" customWidth="1"/>
    <col min="7940" max="7940" width="51.33203125" style="791" customWidth="1"/>
    <col min="7941" max="7946" width="19.5546875" style="791" customWidth="1"/>
    <col min="7947" max="7947" width="50.5546875" style="791" customWidth="1"/>
    <col min="7948" max="8192" width="9.109375" style="791"/>
    <col min="8193" max="8193" width="2" style="791" customWidth="1"/>
    <col min="8194" max="8194" width="5.6640625" style="791" customWidth="1"/>
    <col min="8195" max="8195" width="8.33203125" style="791" customWidth="1"/>
    <col min="8196" max="8196" width="51.33203125" style="791" customWidth="1"/>
    <col min="8197" max="8202" width="19.5546875" style="791" customWidth="1"/>
    <col min="8203" max="8203" width="50.5546875" style="791" customWidth="1"/>
    <col min="8204" max="8448" width="9.109375" style="791"/>
    <col min="8449" max="8449" width="2" style="791" customWidth="1"/>
    <col min="8450" max="8450" width="5.6640625" style="791" customWidth="1"/>
    <col min="8451" max="8451" width="8.33203125" style="791" customWidth="1"/>
    <col min="8452" max="8452" width="51.33203125" style="791" customWidth="1"/>
    <col min="8453" max="8458" width="19.5546875" style="791" customWidth="1"/>
    <col min="8459" max="8459" width="50.5546875" style="791" customWidth="1"/>
    <col min="8460" max="8704" width="9.109375" style="791"/>
    <col min="8705" max="8705" width="2" style="791" customWidth="1"/>
    <col min="8706" max="8706" width="5.6640625" style="791" customWidth="1"/>
    <col min="8707" max="8707" width="8.33203125" style="791" customWidth="1"/>
    <col min="8708" max="8708" width="51.33203125" style="791" customWidth="1"/>
    <col min="8709" max="8714" width="19.5546875" style="791" customWidth="1"/>
    <col min="8715" max="8715" width="50.5546875" style="791" customWidth="1"/>
    <col min="8716" max="8960" width="9.109375" style="791"/>
    <col min="8961" max="8961" width="2" style="791" customWidth="1"/>
    <col min="8962" max="8962" width="5.6640625" style="791" customWidth="1"/>
    <col min="8963" max="8963" width="8.33203125" style="791" customWidth="1"/>
    <col min="8964" max="8964" width="51.33203125" style="791" customWidth="1"/>
    <col min="8965" max="8970" width="19.5546875" style="791" customWidth="1"/>
    <col min="8971" max="8971" width="50.5546875" style="791" customWidth="1"/>
    <col min="8972" max="9216" width="9.109375" style="791"/>
    <col min="9217" max="9217" width="2" style="791" customWidth="1"/>
    <col min="9218" max="9218" width="5.6640625" style="791" customWidth="1"/>
    <col min="9219" max="9219" width="8.33203125" style="791" customWidth="1"/>
    <col min="9220" max="9220" width="51.33203125" style="791" customWidth="1"/>
    <col min="9221" max="9226" width="19.5546875" style="791" customWidth="1"/>
    <col min="9227" max="9227" width="50.5546875" style="791" customWidth="1"/>
    <col min="9228" max="9472" width="9.109375" style="791"/>
    <col min="9473" max="9473" width="2" style="791" customWidth="1"/>
    <col min="9474" max="9474" width="5.6640625" style="791" customWidth="1"/>
    <col min="9475" max="9475" width="8.33203125" style="791" customWidth="1"/>
    <col min="9476" max="9476" width="51.33203125" style="791" customWidth="1"/>
    <col min="9477" max="9482" width="19.5546875" style="791" customWidth="1"/>
    <col min="9483" max="9483" width="50.5546875" style="791" customWidth="1"/>
    <col min="9484" max="9728" width="9.109375" style="791"/>
    <col min="9729" max="9729" width="2" style="791" customWidth="1"/>
    <col min="9730" max="9730" width="5.6640625" style="791" customWidth="1"/>
    <col min="9731" max="9731" width="8.33203125" style="791" customWidth="1"/>
    <col min="9732" max="9732" width="51.33203125" style="791" customWidth="1"/>
    <col min="9733" max="9738" width="19.5546875" style="791" customWidth="1"/>
    <col min="9739" max="9739" width="50.5546875" style="791" customWidth="1"/>
    <col min="9740" max="9984" width="9.109375" style="791"/>
    <col min="9985" max="9985" width="2" style="791" customWidth="1"/>
    <col min="9986" max="9986" width="5.6640625" style="791" customWidth="1"/>
    <col min="9987" max="9987" width="8.33203125" style="791" customWidth="1"/>
    <col min="9988" max="9988" width="51.33203125" style="791" customWidth="1"/>
    <col min="9989" max="9994" width="19.5546875" style="791" customWidth="1"/>
    <col min="9995" max="9995" width="50.5546875" style="791" customWidth="1"/>
    <col min="9996" max="10240" width="9.109375" style="791"/>
    <col min="10241" max="10241" width="2" style="791" customWidth="1"/>
    <col min="10242" max="10242" width="5.6640625" style="791" customWidth="1"/>
    <col min="10243" max="10243" width="8.33203125" style="791" customWidth="1"/>
    <col min="10244" max="10244" width="51.33203125" style="791" customWidth="1"/>
    <col min="10245" max="10250" width="19.5546875" style="791" customWidth="1"/>
    <col min="10251" max="10251" width="50.5546875" style="791" customWidth="1"/>
    <col min="10252" max="10496" width="9.109375" style="791"/>
    <col min="10497" max="10497" width="2" style="791" customWidth="1"/>
    <col min="10498" max="10498" width="5.6640625" style="791" customWidth="1"/>
    <col min="10499" max="10499" width="8.33203125" style="791" customWidth="1"/>
    <col min="10500" max="10500" width="51.33203125" style="791" customWidth="1"/>
    <col min="10501" max="10506" width="19.5546875" style="791" customWidth="1"/>
    <col min="10507" max="10507" width="50.5546875" style="791" customWidth="1"/>
    <col min="10508" max="10752" width="9.109375" style="791"/>
    <col min="10753" max="10753" width="2" style="791" customWidth="1"/>
    <col min="10754" max="10754" width="5.6640625" style="791" customWidth="1"/>
    <col min="10755" max="10755" width="8.33203125" style="791" customWidth="1"/>
    <col min="10756" max="10756" width="51.33203125" style="791" customWidth="1"/>
    <col min="10757" max="10762" width="19.5546875" style="791" customWidth="1"/>
    <col min="10763" max="10763" width="50.5546875" style="791" customWidth="1"/>
    <col min="10764" max="11008" width="9.109375" style="791"/>
    <col min="11009" max="11009" width="2" style="791" customWidth="1"/>
    <col min="11010" max="11010" width="5.6640625" style="791" customWidth="1"/>
    <col min="11011" max="11011" width="8.33203125" style="791" customWidth="1"/>
    <col min="11012" max="11012" width="51.33203125" style="791" customWidth="1"/>
    <col min="11013" max="11018" width="19.5546875" style="791" customWidth="1"/>
    <col min="11019" max="11019" width="50.5546875" style="791" customWidth="1"/>
    <col min="11020" max="11264" width="9.109375" style="791"/>
    <col min="11265" max="11265" width="2" style="791" customWidth="1"/>
    <col min="11266" max="11266" width="5.6640625" style="791" customWidth="1"/>
    <col min="11267" max="11267" width="8.33203125" style="791" customWidth="1"/>
    <col min="11268" max="11268" width="51.33203125" style="791" customWidth="1"/>
    <col min="11269" max="11274" width="19.5546875" style="791" customWidth="1"/>
    <col min="11275" max="11275" width="50.5546875" style="791" customWidth="1"/>
    <col min="11276" max="11520" width="9.109375" style="791"/>
    <col min="11521" max="11521" width="2" style="791" customWidth="1"/>
    <col min="11522" max="11522" width="5.6640625" style="791" customWidth="1"/>
    <col min="11523" max="11523" width="8.33203125" style="791" customWidth="1"/>
    <col min="11524" max="11524" width="51.33203125" style="791" customWidth="1"/>
    <col min="11525" max="11530" width="19.5546875" style="791" customWidth="1"/>
    <col min="11531" max="11531" width="50.5546875" style="791" customWidth="1"/>
    <col min="11532" max="11776" width="9.109375" style="791"/>
    <col min="11777" max="11777" width="2" style="791" customWidth="1"/>
    <col min="11778" max="11778" width="5.6640625" style="791" customWidth="1"/>
    <col min="11779" max="11779" width="8.33203125" style="791" customWidth="1"/>
    <col min="11780" max="11780" width="51.33203125" style="791" customWidth="1"/>
    <col min="11781" max="11786" width="19.5546875" style="791" customWidth="1"/>
    <col min="11787" max="11787" width="50.5546875" style="791" customWidth="1"/>
    <col min="11788" max="12032" width="9.109375" style="791"/>
    <col min="12033" max="12033" width="2" style="791" customWidth="1"/>
    <col min="12034" max="12034" width="5.6640625" style="791" customWidth="1"/>
    <col min="12035" max="12035" width="8.33203125" style="791" customWidth="1"/>
    <col min="12036" max="12036" width="51.33203125" style="791" customWidth="1"/>
    <col min="12037" max="12042" width="19.5546875" style="791" customWidth="1"/>
    <col min="12043" max="12043" width="50.5546875" style="791" customWidth="1"/>
    <col min="12044" max="12288" width="9.109375" style="791"/>
    <col min="12289" max="12289" width="2" style="791" customWidth="1"/>
    <col min="12290" max="12290" width="5.6640625" style="791" customWidth="1"/>
    <col min="12291" max="12291" width="8.33203125" style="791" customWidth="1"/>
    <col min="12292" max="12292" width="51.33203125" style="791" customWidth="1"/>
    <col min="12293" max="12298" width="19.5546875" style="791" customWidth="1"/>
    <col min="12299" max="12299" width="50.5546875" style="791" customWidth="1"/>
    <col min="12300" max="12544" width="9.109375" style="791"/>
    <col min="12545" max="12545" width="2" style="791" customWidth="1"/>
    <col min="12546" max="12546" width="5.6640625" style="791" customWidth="1"/>
    <col min="12547" max="12547" width="8.33203125" style="791" customWidth="1"/>
    <col min="12548" max="12548" width="51.33203125" style="791" customWidth="1"/>
    <col min="12549" max="12554" width="19.5546875" style="791" customWidth="1"/>
    <col min="12555" max="12555" width="50.5546875" style="791" customWidth="1"/>
    <col min="12556" max="12800" width="9.109375" style="791"/>
    <col min="12801" max="12801" width="2" style="791" customWidth="1"/>
    <col min="12802" max="12802" width="5.6640625" style="791" customWidth="1"/>
    <col min="12803" max="12803" width="8.33203125" style="791" customWidth="1"/>
    <col min="12804" max="12804" width="51.33203125" style="791" customWidth="1"/>
    <col min="12805" max="12810" width="19.5546875" style="791" customWidth="1"/>
    <col min="12811" max="12811" width="50.5546875" style="791" customWidth="1"/>
    <col min="12812" max="13056" width="9.109375" style="791"/>
    <col min="13057" max="13057" width="2" style="791" customWidth="1"/>
    <col min="13058" max="13058" width="5.6640625" style="791" customWidth="1"/>
    <col min="13059" max="13059" width="8.33203125" style="791" customWidth="1"/>
    <col min="13060" max="13060" width="51.33203125" style="791" customWidth="1"/>
    <col min="13061" max="13066" width="19.5546875" style="791" customWidth="1"/>
    <col min="13067" max="13067" width="50.5546875" style="791" customWidth="1"/>
    <col min="13068" max="13312" width="9.109375" style="791"/>
    <col min="13313" max="13313" width="2" style="791" customWidth="1"/>
    <col min="13314" max="13314" width="5.6640625" style="791" customWidth="1"/>
    <col min="13315" max="13315" width="8.33203125" style="791" customWidth="1"/>
    <col min="13316" max="13316" width="51.33203125" style="791" customWidth="1"/>
    <col min="13317" max="13322" width="19.5546875" style="791" customWidth="1"/>
    <col min="13323" max="13323" width="50.5546875" style="791" customWidth="1"/>
    <col min="13324" max="13568" width="9.109375" style="791"/>
    <col min="13569" max="13569" width="2" style="791" customWidth="1"/>
    <col min="13570" max="13570" width="5.6640625" style="791" customWidth="1"/>
    <col min="13571" max="13571" width="8.33203125" style="791" customWidth="1"/>
    <col min="13572" max="13572" width="51.33203125" style="791" customWidth="1"/>
    <col min="13573" max="13578" width="19.5546875" style="791" customWidth="1"/>
    <col min="13579" max="13579" width="50.5546875" style="791" customWidth="1"/>
    <col min="13580" max="13824" width="9.109375" style="791"/>
    <col min="13825" max="13825" width="2" style="791" customWidth="1"/>
    <col min="13826" max="13826" width="5.6640625" style="791" customWidth="1"/>
    <col min="13827" max="13827" width="8.33203125" style="791" customWidth="1"/>
    <col min="13828" max="13828" width="51.33203125" style="791" customWidth="1"/>
    <col min="13829" max="13834" width="19.5546875" style="791" customWidth="1"/>
    <col min="13835" max="13835" width="50.5546875" style="791" customWidth="1"/>
    <col min="13836" max="14080" width="9.109375" style="791"/>
    <col min="14081" max="14081" width="2" style="791" customWidth="1"/>
    <col min="14082" max="14082" width="5.6640625" style="791" customWidth="1"/>
    <col min="14083" max="14083" width="8.33203125" style="791" customWidth="1"/>
    <col min="14084" max="14084" width="51.33203125" style="791" customWidth="1"/>
    <col min="14085" max="14090" width="19.5546875" style="791" customWidth="1"/>
    <col min="14091" max="14091" width="50.5546875" style="791" customWidth="1"/>
    <col min="14092" max="14336" width="9.109375" style="791"/>
    <col min="14337" max="14337" width="2" style="791" customWidth="1"/>
    <col min="14338" max="14338" width="5.6640625" style="791" customWidth="1"/>
    <col min="14339" max="14339" width="8.33203125" style="791" customWidth="1"/>
    <col min="14340" max="14340" width="51.33203125" style="791" customWidth="1"/>
    <col min="14341" max="14346" width="19.5546875" style="791" customWidth="1"/>
    <col min="14347" max="14347" width="50.5546875" style="791" customWidth="1"/>
    <col min="14348" max="14592" width="9.109375" style="791"/>
    <col min="14593" max="14593" width="2" style="791" customWidth="1"/>
    <col min="14594" max="14594" width="5.6640625" style="791" customWidth="1"/>
    <col min="14595" max="14595" width="8.33203125" style="791" customWidth="1"/>
    <col min="14596" max="14596" width="51.33203125" style="791" customWidth="1"/>
    <col min="14597" max="14602" width="19.5546875" style="791" customWidth="1"/>
    <col min="14603" max="14603" width="50.5546875" style="791" customWidth="1"/>
    <col min="14604" max="14848" width="9.109375" style="791"/>
    <col min="14849" max="14849" width="2" style="791" customWidth="1"/>
    <col min="14850" max="14850" width="5.6640625" style="791" customWidth="1"/>
    <col min="14851" max="14851" width="8.33203125" style="791" customWidth="1"/>
    <col min="14852" max="14852" width="51.33203125" style="791" customWidth="1"/>
    <col min="14853" max="14858" width="19.5546875" style="791" customWidth="1"/>
    <col min="14859" max="14859" width="50.5546875" style="791" customWidth="1"/>
    <col min="14860" max="15104" width="9.109375" style="791"/>
    <col min="15105" max="15105" width="2" style="791" customWidth="1"/>
    <col min="15106" max="15106" width="5.6640625" style="791" customWidth="1"/>
    <col min="15107" max="15107" width="8.33203125" style="791" customWidth="1"/>
    <col min="15108" max="15108" width="51.33203125" style="791" customWidth="1"/>
    <col min="15109" max="15114" width="19.5546875" style="791" customWidth="1"/>
    <col min="15115" max="15115" width="50.5546875" style="791" customWidth="1"/>
    <col min="15116" max="15360" width="9.109375" style="791"/>
    <col min="15361" max="15361" width="2" style="791" customWidth="1"/>
    <col min="15362" max="15362" width="5.6640625" style="791" customWidth="1"/>
    <col min="15363" max="15363" width="8.33203125" style="791" customWidth="1"/>
    <col min="15364" max="15364" width="51.33203125" style="791" customWidth="1"/>
    <col min="15365" max="15370" width="19.5546875" style="791" customWidth="1"/>
    <col min="15371" max="15371" width="50.5546875" style="791" customWidth="1"/>
    <col min="15372" max="15616" width="9.109375" style="791"/>
    <col min="15617" max="15617" width="2" style="791" customWidth="1"/>
    <col min="15618" max="15618" width="5.6640625" style="791" customWidth="1"/>
    <col min="15619" max="15619" width="8.33203125" style="791" customWidth="1"/>
    <col min="15620" max="15620" width="51.33203125" style="791" customWidth="1"/>
    <col min="15621" max="15626" width="19.5546875" style="791" customWidth="1"/>
    <col min="15627" max="15627" width="50.5546875" style="791" customWidth="1"/>
    <col min="15628" max="15872" width="9.109375" style="791"/>
    <col min="15873" max="15873" width="2" style="791" customWidth="1"/>
    <col min="15874" max="15874" width="5.6640625" style="791" customWidth="1"/>
    <col min="15875" max="15875" width="8.33203125" style="791" customWidth="1"/>
    <col min="15876" max="15876" width="51.33203125" style="791" customWidth="1"/>
    <col min="15877" max="15882" width="19.5546875" style="791" customWidth="1"/>
    <col min="15883" max="15883" width="50.5546875" style="791" customWidth="1"/>
    <col min="15884" max="16128" width="9.109375" style="791"/>
    <col min="16129" max="16129" width="2" style="791" customWidth="1"/>
    <col min="16130" max="16130" width="5.6640625" style="791" customWidth="1"/>
    <col min="16131" max="16131" width="8.33203125" style="791" customWidth="1"/>
    <col min="16132" max="16132" width="51.33203125" style="791" customWidth="1"/>
    <col min="16133" max="16138" width="19.5546875" style="791" customWidth="1"/>
    <col min="16139" max="16139" width="50.5546875" style="791" customWidth="1"/>
    <col min="16140" max="16384" width="9.109375" style="791"/>
  </cols>
  <sheetData>
    <row r="1" spans="1:11" ht="20.399999999999999">
      <c r="A1" s="944" t="s">
        <v>1485</v>
      </c>
      <c r="B1" s="944"/>
      <c r="C1" s="956"/>
      <c r="D1" s="956"/>
      <c r="E1" s="956"/>
      <c r="F1" s="956"/>
      <c r="G1" s="956"/>
      <c r="H1" s="956"/>
      <c r="I1" s="956"/>
      <c r="J1" s="956"/>
      <c r="K1" s="956"/>
    </row>
    <row r="2" spans="1:11" ht="19.2">
      <c r="A2" s="957" t="str">
        <f>Inputs!B2</f>
        <v>(For Rate Year Beginning April 1, 2026, Based on December 31, 2025 Data)</v>
      </c>
      <c r="B2" s="957"/>
      <c r="C2" s="957"/>
      <c r="D2" s="957"/>
      <c r="E2" s="957"/>
      <c r="F2" s="957"/>
      <c r="G2" s="957"/>
      <c r="H2" s="957"/>
      <c r="I2" s="957"/>
      <c r="J2" s="957"/>
      <c r="K2" s="957"/>
    </row>
    <row r="3" spans="1:11" ht="8.1" customHeight="1">
      <c r="B3" s="169"/>
      <c r="C3" s="168"/>
      <c r="D3" s="170"/>
      <c r="E3" s="170"/>
      <c r="F3" s="170"/>
      <c r="G3" s="170"/>
      <c r="H3" s="170"/>
      <c r="I3" s="170"/>
      <c r="J3" s="170"/>
      <c r="K3" s="171"/>
    </row>
    <row r="4" spans="1:11" ht="14.4">
      <c r="B4" s="169"/>
      <c r="C4" s="168"/>
      <c r="D4" s="856"/>
      <c r="E4" s="744"/>
      <c r="F4" s="744"/>
      <c r="G4" s="744"/>
      <c r="H4" s="744"/>
      <c r="I4" s="744"/>
      <c r="J4" s="744"/>
      <c r="K4" s="744"/>
    </row>
    <row r="5" spans="1:11" ht="14.4">
      <c r="B5" s="169"/>
      <c r="C5" s="815" t="s">
        <v>1318</v>
      </c>
      <c r="E5" s="794"/>
      <c r="F5" s="794"/>
      <c r="G5" s="794"/>
      <c r="H5" s="794"/>
      <c r="I5" s="794"/>
      <c r="J5" s="794"/>
      <c r="K5" s="744"/>
    </row>
    <row r="6" spans="1:11" ht="27.9" customHeight="1">
      <c r="B6" s="169"/>
      <c r="C6" s="964" t="s">
        <v>1501</v>
      </c>
      <c r="D6" s="964"/>
      <c r="E6" s="964"/>
      <c r="F6" s="964"/>
      <c r="G6" s="964"/>
      <c r="H6" s="964"/>
      <c r="I6" s="794"/>
      <c r="J6" s="794"/>
      <c r="K6" s="744"/>
    </row>
    <row r="7" spans="1:11" ht="14.4">
      <c r="B7" s="169"/>
      <c r="C7" s="168"/>
      <c r="D7" s="171"/>
      <c r="E7" s="744"/>
      <c r="F7" s="744"/>
      <c r="G7" s="744"/>
      <c r="H7" s="744"/>
      <c r="I7" s="744"/>
      <c r="J7" s="744"/>
      <c r="K7" s="744"/>
    </row>
    <row r="8" spans="1:11" ht="14.4">
      <c r="B8" s="169"/>
      <c r="C8" s="168"/>
      <c r="D8" s="857"/>
      <c r="E8" s="858" t="s">
        <v>1319</v>
      </c>
      <c r="F8" s="858" t="s">
        <v>1320</v>
      </c>
      <c r="G8" s="744"/>
      <c r="H8" s="744"/>
      <c r="I8" s="744"/>
      <c r="J8" s="744"/>
      <c r="K8" s="744"/>
    </row>
    <row r="9" spans="1:11" ht="14.4">
      <c r="B9" s="169"/>
      <c r="C9" s="168"/>
      <c r="D9" s="859" t="s">
        <v>1321</v>
      </c>
      <c r="E9" s="860">
        <f>+Inputs!D338</f>
        <v>0.35</v>
      </c>
      <c r="F9" s="860">
        <f>+Inputs!D339</f>
        <v>0.21</v>
      </c>
      <c r="G9" s="744"/>
      <c r="H9" s="744"/>
      <c r="I9" s="744"/>
      <c r="J9" s="744"/>
      <c r="K9" s="744"/>
    </row>
    <row r="10" spans="1:11" ht="14.4">
      <c r="B10" s="169"/>
      <c r="C10" s="168"/>
      <c r="D10" s="859" t="s">
        <v>1322</v>
      </c>
      <c r="E10" s="860">
        <f>+Inputs!D340</f>
        <v>0</v>
      </c>
      <c r="F10" s="860">
        <f>+Inputs!D341</f>
        <v>0</v>
      </c>
      <c r="G10" s="744"/>
      <c r="H10" s="744"/>
      <c r="I10" s="744"/>
      <c r="J10" s="744"/>
      <c r="K10" s="744"/>
    </row>
    <row r="11" spans="1:11" ht="14.4">
      <c r="B11" s="169"/>
      <c r="C11" s="168"/>
      <c r="D11" s="859" t="s">
        <v>1323</v>
      </c>
      <c r="E11" s="860">
        <f>-E9*E10</f>
        <v>0</v>
      </c>
      <c r="F11" s="860">
        <f>-F9*F10</f>
        <v>0</v>
      </c>
      <c r="G11" s="820"/>
      <c r="H11" s="744"/>
      <c r="I11" s="744"/>
      <c r="J11" s="744"/>
      <c r="K11" s="744"/>
    </row>
    <row r="12" spans="1:11" ht="14.4">
      <c r="B12" s="169"/>
      <c r="C12" s="168"/>
      <c r="D12" s="859" t="s">
        <v>1324</v>
      </c>
      <c r="E12" s="860">
        <v>0</v>
      </c>
      <c r="F12" s="860">
        <v>0</v>
      </c>
      <c r="G12" s="820"/>
      <c r="H12" s="744"/>
      <c r="I12" s="744"/>
      <c r="J12" s="744"/>
      <c r="K12" s="744"/>
    </row>
    <row r="13" spans="1:11" ht="15" thickBot="1">
      <c r="B13" s="169"/>
      <c r="C13" s="168"/>
      <c r="D13" s="859" t="s">
        <v>1325</v>
      </c>
      <c r="E13" s="861">
        <f>SUM(E9:E12)</f>
        <v>0.35</v>
      </c>
      <c r="F13" s="861">
        <f>SUM(F9:F12)</f>
        <v>0.21</v>
      </c>
      <c r="G13" s="744"/>
      <c r="H13" s="744"/>
      <c r="I13" s="744"/>
      <c r="J13" s="744"/>
      <c r="K13" s="744"/>
    </row>
    <row r="14" spans="1:11" ht="15.6" thickTop="1" thickBot="1">
      <c r="B14" s="169"/>
      <c r="C14" s="168"/>
      <c r="D14" s="859" t="s">
        <v>1326</v>
      </c>
      <c r="E14" s="822">
        <f>1/(1-E13)-1</f>
        <v>0.53846153846153832</v>
      </c>
      <c r="F14" s="822">
        <f>1/(1-F13)-1</f>
        <v>0.26582278481012644</v>
      </c>
      <c r="G14" s="744"/>
      <c r="H14" s="744"/>
      <c r="I14" s="744"/>
      <c r="J14" s="744"/>
      <c r="K14" s="744"/>
    </row>
    <row r="15" spans="1:11" ht="15" thickTop="1">
      <c r="B15" s="169"/>
      <c r="C15" s="168"/>
      <c r="D15" s="171"/>
      <c r="E15" s="744"/>
      <c r="F15" s="744"/>
      <c r="G15" s="744"/>
      <c r="H15" s="744"/>
      <c r="I15" s="744"/>
      <c r="J15" s="744"/>
      <c r="K15" s="744"/>
    </row>
    <row r="16" spans="1:11" ht="14.4">
      <c r="B16" s="169"/>
      <c r="C16" s="168"/>
      <c r="D16" s="171"/>
      <c r="E16" s="744"/>
      <c r="F16" s="744"/>
      <c r="G16" s="744"/>
      <c r="H16" s="744"/>
      <c r="I16" s="744"/>
      <c r="J16" s="744"/>
      <c r="K16" s="744"/>
    </row>
    <row r="17" spans="2:11" ht="14.4">
      <c r="B17" s="169"/>
      <c r="C17" s="815" t="s">
        <v>1327</v>
      </c>
      <c r="D17" s="171"/>
      <c r="E17" s="744"/>
      <c r="F17" s="744"/>
      <c r="G17" s="744"/>
      <c r="H17" s="744"/>
      <c r="I17" s="744"/>
      <c r="J17" s="744"/>
      <c r="K17" s="744"/>
    </row>
    <row r="18" spans="2:11" ht="14.4">
      <c r="B18" s="169"/>
      <c r="C18" s="168"/>
      <c r="D18" s="171"/>
      <c r="E18" s="744" t="s">
        <v>533</v>
      </c>
      <c r="F18" s="744" t="s">
        <v>534</v>
      </c>
      <c r="G18" s="744" t="s">
        <v>535</v>
      </c>
      <c r="H18" s="744" t="s">
        <v>536</v>
      </c>
      <c r="I18" s="744" t="s">
        <v>537</v>
      </c>
      <c r="J18" s="744" t="s">
        <v>538</v>
      </c>
      <c r="K18" s="744" t="s">
        <v>539</v>
      </c>
    </row>
    <row r="19" spans="2:11" ht="90" customHeight="1">
      <c r="B19" s="823" t="s">
        <v>244</v>
      </c>
      <c r="C19" s="823" t="s">
        <v>61</v>
      </c>
      <c r="D19" s="823" t="s">
        <v>543</v>
      </c>
      <c r="E19" s="824" t="s">
        <v>1328</v>
      </c>
      <c r="F19" s="824" t="s">
        <v>1329</v>
      </c>
      <c r="G19" s="824" t="s">
        <v>1475</v>
      </c>
      <c r="H19" s="824" t="s">
        <v>1294</v>
      </c>
      <c r="I19" s="824" t="s">
        <v>1295</v>
      </c>
      <c r="J19" s="824" t="s">
        <v>1476</v>
      </c>
      <c r="K19" s="825" t="s">
        <v>257</v>
      </c>
    </row>
    <row r="20" spans="2:11" ht="13.8">
      <c r="B20" s="251">
        <v>1</v>
      </c>
      <c r="C20" s="826">
        <v>190</v>
      </c>
      <c r="D20" s="794" t="s">
        <v>1280</v>
      </c>
      <c r="E20" s="790">
        <f>+Inputs!D257</f>
        <v>0</v>
      </c>
      <c r="F20" s="790">
        <f>E20/$E$13*$F$13</f>
        <v>0</v>
      </c>
      <c r="G20" s="790">
        <f>E20-F20</f>
        <v>0</v>
      </c>
      <c r="H20" s="389"/>
      <c r="I20" s="389"/>
      <c r="J20" s="790">
        <f>SUM(G20:I20)</f>
        <v>0</v>
      </c>
      <c r="K20" s="388"/>
    </row>
    <row r="21" spans="2:11" ht="13.8">
      <c r="B21" s="251">
        <f>B20+1</f>
        <v>2</v>
      </c>
      <c r="C21" s="826">
        <v>190</v>
      </c>
      <c r="D21" s="794" t="s">
        <v>643</v>
      </c>
      <c r="E21" s="790">
        <f>+Inputs!D258</f>
        <v>0</v>
      </c>
      <c r="F21" s="790">
        <f>E21/$E$13*$F$13</f>
        <v>0</v>
      </c>
      <c r="G21" s="790">
        <f>E21-F21</f>
        <v>0</v>
      </c>
      <c r="H21" s="389"/>
      <c r="I21" s="389"/>
      <c r="J21" s="790">
        <f>SUM(G21:I21)</f>
        <v>0</v>
      </c>
      <c r="K21" s="388"/>
    </row>
    <row r="22" spans="2:11" ht="13.8">
      <c r="B22" s="251">
        <f>B21+1</f>
        <v>3</v>
      </c>
      <c r="C22" s="827"/>
      <c r="D22" s="388"/>
      <c r="E22" s="389"/>
      <c r="F22" s="790">
        <f>E22/$E$13*$F$13</f>
        <v>0</v>
      </c>
      <c r="G22" s="790">
        <f>E22-F22</f>
        <v>0</v>
      </c>
      <c r="H22" s="389"/>
      <c r="I22" s="389"/>
      <c r="J22" s="790">
        <f>SUM(G22:I22)</f>
        <v>0</v>
      </c>
      <c r="K22" s="388"/>
    </row>
    <row r="23" spans="2:11" ht="13.8">
      <c r="B23" s="251">
        <f t="shared" ref="B23:B86" si="0">B22+1</f>
        <v>4</v>
      </c>
      <c r="C23" s="827"/>
      <c r="D23" s="388"/>
      <c r="E23" s="389"/>
      <c r="F23" s="790">
        <f>E23/$E$13*$F$13</f>
        <v>0</v>
      </c>
      <c r="G23" s="790">
        <f>E23-F23</f>
        <v>0</v>
      </c>
      <c r="H23" s="389"/>
      <c r="I23" s="389"/>
      <c r="J23" s="790">
        <f>SUM(G23:I23)</f>
        <v>0</v>
      </c>
      <c r="K23" s="388"/>
    </row>
    <row r="24" spans="2:11" ht="13.8">
      <c r="B24" s="251">
        <f t="shared" si="0"/>
        <v>5</v>
      </c>
      <c r="C24" s="827"/>
      <c r="D24" s="388"/>
      <c r="E24" s="389"/>
      <c r="F24" s="790">
        <f>E24/$E$13*$F$13</f>
        <v>0</v>
      </c>
      <c r="G24" s="790">
        <f>E24-F24</f>
        <v>0</v>
      </c>
      <c r="H24" s="389"/>
      <c r="I24" s="389"/>
      <c r="J24" s="790">
        <f>SUM(G24:I24)</f>
        <v>0</v>
      </c>
      <c r="K24" s="388"/>
    </row>
    <row r="25" spans="2:11" ht="13.8">
      <c r="B25" s="251">
        <f t="shared" si="0"/>
        <v>6</v>
      </c>
      <c r="C25" s="168"/>
      <c r="D25" s="170"/>
      <c r="E25" s="175"/>
      <c r="F25" s="175"/>
      <c r="G25" s="175"/>
      <c r="H25" s="175"/>
      <c r="I25" s="175"/>
      <c r="J25" s="175"/>
      <c r="K25" s="175"/>
    </row>
    <row r="26" spans="2:11" ht="13.8">
      <c r="B26" s="251">
        <f t="shared" si="0"/>
        <v>7</v>
      </c>
      <c r="C26" s="168"/>
      <c r="D26" s="176" t="s">
        <v>1330</v>
      </c>
      <c r="E26" s="175">
        <f t="shared" ref="E26:J26" si="1">SUM(E20:E24)</f>
        <v>0</v>
      </c>
      <c r="F26" s="175">
        <f t="shared" si="1"/>
        <v>0</v>
      </c>
      <c r="G26" s="175">
        <f t="shared" si="1"/>
        <v>0</v>
      </c>
      <c r="H26" s="175">
        <f t="shared" si="1"/>
        <v>0</v>
      </c>
      <c r="I26" s="175">
        <f t="shared" si="1"/>
        <v>0</v>
      </c>
      <c r="J26" s="175">
        <f t="shared" si="1"/>
        <v>0</v>
      </c>
      <c r="K26" s="170" t="s">
        <v>1486</v>
      </c>
    </row>
    <row r="27" spans="2:11" ht="13.8">
      <c r="B27" s="251">
        <f t="shared" si="0"/>
        <v>8</v>
      </c>
      <c r="C27" s="383"/>
      <c r="D27" s="176" t="s">
        <v>1332</v>
      </c>
      <c r="E27" s="177"/>
      <c r="F27" s="177"/>
      <c r="G27" s="177"/>
      <c r="H27" s="177"/>
      <c r="I27" s="177"/>
      <c r="J27" s="177"/>
    </row>
    <row r="28" spans="2:11" ht="13.8">
      <c r="B28" s="251">
        <f t="shared" si="0"/>
        <v>9</v>
      </c>
      <c r="C28" s="168"/>
      <c r="D28" s="176" t="s">
        <v>1301</v>
      </c>
      <c r="E28" s="175"/>
      <c r="F28" s="175"/>
      <c r="G28" s="175"/>
      <c r="H28" s="175"/>
      <c r="I28" s="175"/>
      <c r="J28" s="175"/>
    </row>
    <row r="29" spans="2:11" ht="13.8">
      <c r="B29" s="251">
        <f t="shared" si="0"/>
        <v>10</v>
      </c>
      <c r="C29" s="168"/>
      <c r="D29" s="176"/>
      <c r="E29" s="175"/>
      <c r="F29" s="175"/>
      <c r="G29" s="175"/>
      <c r="H29" s="175"/>
      <c r="I29" s="175"/>
      <c r="J29" s="175"/>
      <c r="K29" s="175"/>
    </row>
    <row r="30" spans="2:11" ht="13.8">
      <c r="B30" s="251">
        <f t="shared" si="0"/>
        <v>11</v>
      </c>
      <c r="C30" s="168"/>
      <c r="D30" s="176"/>
      <c r="E30" s="175"/>
      <c r="F30" s="175"/>
      <c r="G30" s="175"/>
      <c r="H30" s="175"/>
      <c r="I30" s="175"/>
      <c r="J30" s="175"/>
      <c r="K30" s="175"/>
    </row>
    <row r="31" spans="2:11" ht="13.8">
      <c r="B31" s="251">
        <f t="shared" si="0"/>
        <v>12</v>
      </c>
      <c r="C31" s="168">
        <v>190</v>
      </c>
      <c r="D31" s="794" t="s">
        <v>1273</v>
      </c>
      <c r="E31" s="175">
        <f>Inputs!D259</f>
        <v>0</v>
      </c>
      <c r="F31" s="790">
        <f t="shared" ref="F31:F43" si="2">E31/$E$13*$F$13</f>
        <v>0</v>
      </c>
      <c r="G31" s="790">
        <f t="shared" ref="G31:G43" si="3">E31-F31</f>
        <v>0</v>
      </c>
      <c r="H31" s="798"/>
      <c r="I31" s="798"/>
      <c r="J31" s="790">
        <f t="shared" ref="J31:J43" si="4">SUM(G31:I31)</f>
        <v>0</v>
      </c>
      <c r="K31" s="798"/>
    </row>
    <row r="32" spans="2:11" ht="13.8">
      <c r="B32" s="251">
        <f t="shared" si="0"/>
        <v>13</v>
      </c>
      <c r="C32" s="826">
        <v>190</v>
      </c>
      <c r="D32" s="794" t="s">
        <v>1274</v>
      </c>
      <c r="E32" s="175">
        <f>Inputs!D260</f>
        <v>0</v>
      </c>
      <c r="F32" s="790">
        <f t="shared" si="2"/>
        <v>0</v>
      </c>
      <c r="G32" s="790">
        <f t="shared" si="3"/>
        <v>0</v>
      </c>
      <c r="H32" s="389"/>
      <c r="I32" s="389"/>
      <c r="J32" s="790">
        <f t="shared" si="4"/>
        <v>0</v>
      </c>
      <c r="K32" s="388"/>
    </row>
    <row r="33" spans="2:11" ht="13.8">
      <c r="B33" s="251">
        <f t="shared" si="0"/>
        <v>14</v>
      </c>
      <c r="C33" s="826">
        <v>190</v>
      </c>
      <c r="D33" s="794" t="s">
        <v>1275</v>
      </c>
      <c r="E33" s="175">
        <f>Inputs!D261</f>
        <v>0</v>
      </c>
      <c r="F33" s="790">
        <f t="shared" si="2"/>
        <v>0</v>
      </c>
      <c r="G33" s="790">
        <f t="shared" si="3"/>
        <v>0</v>
      </c>
      <c r="H33" s="389"/>
      <c r="I33" s="389"/>
      <c r="J33" s="790">
        <f t="shared" si="4"/>
        <v>0</v>
      </c>
      <c r="K33" s="388"/>
    </row>
    <row r="34" spans="2:11" ht="13.8">
      <c r="B34" s="251">
        <f t="shared" si="0"/>
        <v>15</v>
      </c>
      <c r="C34" s="826">
        <v>190</v>
      </c>
      <c r="D34" s="794" t="s">
        <v>1276</v>
      </c>
      <c r="E34" s="175">
        <f>Inputs!D262</f>
        <v>0</v>
      </c>
      <c r="F34" s="790">
        <f t="shared" si="2"/>
        <v>0</v>
      </c>
      <c r="G34" s="790">
        <f t="shared" si="3"/>
        <v>0</v>
      </c>
      <c r="H34" s="389"/>
      <c r="I34" s="389"/>
      <c r="J34" s="790">
        <f t="shared" si="4"/>
        <v>0</v>
      </c>
      <c r="K34" s="388"/>
    </row>
    <row r="35" spans="2:11" ht="13.8">
      <c r="B35" s="251">
        <f>B34+1</f>
        <v>16</v>
      </c>
      <c r="C35" s="826">
        <v>190</v>
      </c>
      <c r="D35" s="794" t="s">
        <v>1277</v>
      </c>
      <c r="E35" s="175">
        <f>Inputs!D263</f>
        <v>0</v>
      </c>
      <c r="F35" s="790">
        <f t="shared" si="2"/>
        <v>0</v>
      </c>
      <c r="G35" s="790">
        <f t="shared" si="3"/>
        <v>0</v>
      </c>
      <c r="H35" s="389"/>
      <c r="I35" s="389"/>
      <c r="J35" s="790">
        <f t="shared" si="4"/>
        <v>0</v>
      </c>
      <c r="K35" s="388"/>
    </row>
    <row r="36" spans="2:11" ht="13.8">
      <c r="B36" s="251">
        <f t="shared" si="0"/>
        <v>17</v>
      </c>
      <c r="C36" s="826">
        <v>190</v>
      </c>
      <c r="D36" s="794" t="s">
        <v>639</v>
      </c>
      <c r="E36" s="175">
        <f>Inputs!D264</f>
        <v>0</v>
      </c>
      <c r="F36" s="790">
        <f t="shared" si="2"/>
        <v>0</v>
      </c>
      <c r="G36" s="790">
        <f t="shared" si="3"/>
        <v>0</v>
      </c>
      <c r="H36" s="389"/>
      <c r="I36" s="389"/>
      <c r="J36" s="790">
        <f t="shared" si="4"/>
        <v>0</v>
      </c>
      <c r="K36" s="388"/>
    </row>
    <row r="37" spans="2:11" ht="13.8">
      <c r="B37" s="251">
        <f t="shared" si="0"/>
        <v>18</v>
      </c>
      <c r="C37" s="826">
        <v>190</v>
      </c>
      <c r="D37" s="794" t="s">
        <v>1278</v>
      </c>
      <c r="E37" s="175">
        <f>Inputs!D265</f>
        <v>0</v>
      </c>
      <c r="F37" s="790">
        <f t="shared" si="2"/>
        <v>0</v>
      </c>
      <c r="G37" s="790">
        <f t="shared" si="3"/>
        <v>0</v>
      </c>
      <c r="H37" s="389"/>
      <c r="I37" s="389"/>
      <c r="J37" s="790">
        <f t="shared" si="4"/>
        <v>0</v>
      </c>
      <c r="K37" s="388"/>
    </row>
    <row r="38" spans="2:11" ht="13.8">
      <c r="B38" s="251">
        <f t="shared" si="0"/>
        <v>19</v>
      </c>
      <c r="C38" s="826">
        <v>190</v>
      </c>
      <c r="D38" s="794" t="s">
        <v>1279</v>
      </c>
      <c r="E38" s="175">
        <f>Inputs!D266</f>
        <v>0</v>
      </c>
      <c r="F38" s="790">
        <f t="shared" si="2"/>
        <v>0</v>
      </c>
      <c r="G38" s="790">
        <f t="shared" si="3"/>
        <v>0</v>
      </c>
      <c r="H38" s="389"/>
      <c r="I38" s="389"/>
      <c r="J38" s="790">
        <f t="shared" si="4"/>
        <v>0</v>
      </c>
      <c r="K38" s="388"/>
    </row>
    <row r="39" spans="2:11" ht="13.8">
      <c r="B39" s="251">
        <f t="shared" si="0"/>
        <v>20</v>
      </c>
      <c r="C39" s="826">
        <v>190</v>
      </c>
      <c r="D39" s="794" t="s">
        <v>1280</v>
      </c>
      <c r="E39" s="175">
        <f>Inputs!D267</f>
        <v>0</v>
      </c>
      <c r="F39" s="790">
        <f>E39/$E$13*$F$13</f>
        <v>0</v>
      </c>
      <c r="G39" s="790">
        <f>E39-F39</f>
        <v>0</v>
      </c>
      <c r="H39" s="389"/>
      <c r="I39" s="389"/>
      <c r="J39" s="790">
        <f>SUM(G39:I39)</f>
        <v>0</v>
      </c>
      <c r="K39" s="805"/>
    </row>
    <row r="40" spans="2:11" ht="13.8">
      <c r="B40" s="251">
        <f t="shared" si="0"/>
        <v>21</v>
      </c>
      <c r="C40" s="826">
        <v>190</v>
      </c>
      <c r="D40" s="794" t="s">
        <v>643</v>
      </c>
      <c r="E40" s="175">
        <f>Inputs!D268</f>
        <v>0</v>
      </c>
      <c r="F40" s="790">
        <f t="shared" si="2"/>
        <v>0</v>
      </c>
      <c r="G40" s="790">
        <f t="shared" si="3"/>
        <v>0</v>
      </c>
      <c r="H40" s="389"/>
      <c r="I40" s="389"/>
      <c r="J40" s="790">
        <f t="shared" si="4"/>
        <v>0</v>
      </c>
      <c r="K40" s="388"/>
    </row>
    <row r="41" spans="2:11" ht="13.8">
      <c r="B41" s="251">
        <f t="shared" si="0"/>
        <v>22</v>
      </c>
      <c r="C41" s="827"/>
      <c r="D41" s="808"/>
      <c r="E41" s="808"/>
      <c r="F41" s="790">
        <f t="shared" si="2"/>
        <v>0</v>
      </c>
      <c r="G41" s="790">
        <f t="shared" si="3"/>
        <v>0</v>
      </c>
      <c r="H41" s="808"/>
      <c r="I41" s="808"/>
      <c r="J41" s="790">
        <f t="shared" si="4"/>
        <v>0</v>
      </c>
      <c r="K41" s="808"/>
    </row>
    <row r="42" spans="2:11" ht="13.8">
      <c r="B42" s="251">
        <f t="shared" si="0"/>
        <v>23</v>
      </c>
      <c r="C42" s="387"/>
      <c r="D42" s="388"/>
      <c r="E42" s="389"/>
      <c r="F42" s="790">
        <f t="shared" si="2"/>
        <v>0</v>
      </c>
      <c r="G42" s="790">
        <f t="shared" si="3"/>
        <v>0</v>
      </c>
      <c r="H42" s="389"/>
      <c r="I42" s="389"/>
      <c r="J42" s="790">
        <f t="shared" si="4"/>
        <v>0</v>
      </c>
      <c r="K42" s="388"/>
    </row>
    <row r="43" spans="2:11" ht="13.8">
      <c r="B43" s="251">
        <f t="shared" si="0"/>
        <v>24</v>
      </c>
      <c r="C43" s="387"/>
      <c r="D43" s="388"/>
      <c r="E43" s="389"/>
      <c r="F43" s="790">
        <f t="shared" si="2"/>
        <v>0</v>
      </c>
      <c r="G43" s="790">
        <f t="shared" si="3"/>
        <v>0</v>
      </c>
      <c r="H43" s="389"/>
      <c r="I43" s="389"/>
      <c r="J43" s="790">
        <f t="shared" si="4"/>
        <v>0</v>
      </c>
      <c r="K43" s="388"/>
    </row>
    <row r="44" spans="2:11" ht="13.8">
      <c r="B44" s="251">
        <f t="shared" si="0"/>
        <v>25</v>
      </c>
      <c r="C44" s="168"/>
      <c r="D44" s="170"/>
      <c r="E44" s="175"/>
      <c r="F44" s="175"/>
      <c r="G44" s="175"/>
      <c r="H44" s="175"/>
      <c r="I44" s="175"/>
      <c r="J44" s="175"/>
      <c r="K44" s="175"/>
    </row>
    <row r="45" spans="2:11" ht="13.8">
      <c r="B45" s="251">
        <f t="shared" si="0"/>
        <v>26</v>
      </c>
      <c r="C45" s="168"/>
      <c r="D45" s="176" t="s">
        <v>1333</v>
      </c>
      <c r="E45" s="175">
        <f t="shared" ref="E45:J45" si="5">SUM(E31:E43)</f>
        <v>0</v>
      </c>
      <c r="F45" s="175">
        <f t="shared" si="5"/>
        <v>0</v>
      </c>
      <c r="G45" s="175">
        <f t="shared" si="5"/>
        <v>0</v>
      </c>
      <c r="H45" s="175">
        <f t="shared" si="5"/>
        <v>0</v>
      </c>
      <c r="I45" s="175">
        <f t="shared" si="5"/>
        <v>0</v>
      </c>
      <c r="J45" s="175">
        <f t="shared" si="5"/>
        <v>0</v>
      </c>
      <c r="K45" s="170" t="s">
        <v>1486</v>
      </c>
    </row>
    <row r="46" spans="2:11" ht="13.8">
      <c r="B46" s="251">
        <f t="shared" si="0"/>
        <v>27</v>
      </c>
      <c r="C46" s="168"/>
      <c r="D46" s="176" t="s">
        <v>1332</v>
      </c>
      <c r="F46" s="175"/>
      <c r="G46" s="175"/>
      <c r="K46" s="175"/>
    </row>
    <row r="47" spans="2:11" ht="13.8">
      <c r="B47" s="251">
        <f t="shared" si="0"/>
        <v>28</v>
      </c>
      <c r="C47" s="383"/>
      <c r="D47" s="176" t="s">
        <v>1302</v>
      </c>
      <c r="E47" s="177"/>
      <c r="F47" s="177"/>
      <c r="G47" s="177"/>
      <c r="K47" s="442"/>
    </row>
    <row r="48" spans="2:11" ht="13.8">
      <c r="B48" s="251">
        <f t="shared" si="0"/>
        <v>29</v>
      </c>
      <c r="C48" s="168"/>
      <c r="D48" s="176" t="s">
        <v>1477</v>
      </c>
      <c r="E48" s="175"/>
      <c r="F48" s="175"/>
      <c r="G48" s="175"/>
      <c r="H48" s="175"/>
      <c r="I48" s="175"/>
      <c r="J48" s="175"/>
      <c r="K48" s="170"/>
    </row>
    <row r="49" spans="2:11" ht="13.8">
      <c r="B49" s="251">
        <f t="shared" si="0"/>
        <v>30</v>
      </c>
      <c r="C49" s="168"/>
      <c r="D49" s="176" t="s">
        <v>1478</v>
      </c>
      <c r="F49" s="232"/>
      <c r="G49" s="232">
        <f>+G45+G26</f>
        <v>0</v>
      </c>
      <c r="H49" s="232">
        <f>+H45+H26</f>
        <v>0</v>
      </c>
      <c r="I49" s="232">
        <f>+I45+I26</f>
        <v>0</v>
      </c>
      <c r="J49" s="232">
        <f>+J45+J26</f>
        <v>0</v>
      </c>
      <c r="K49" s="175"/>
    </row>
    <row r="50" spans="2:11" ht="14.4" thickBot="1">
      <c r="B50" s="251">
        <f t="shared" si="0"/>
        <v>31</v>
      </c>
      <c r="C50" s="168"/>
      <c r="F50" s="232"/>
      <c r="G50" s="232"/>
      <c r="H50" s="232"/>
      <c r="I50" s="232"/>
      <c r="J50" s="232"/>
      <c r="K50" s="175"/>
    </row>
    <row r="51" spans="2:11" ht="14.4" thickBot="1">
      <c r="B51" s="251">
        <f t="shared" si="0"/>
        <v>32</v>
      </c>
      <c r="C51" s="168"/>
      <c r="D51" s="176" t="s">
        <v>1487</v>
      </c>
      <c r="F51" s="232"/>
      <c r="G51" s="232"/>
      <c r="H51" s="232"/>
      <c r="I51" s="232"/>
      <c r="J51" s="828">
        <f>Inputs!D275</f>
        <v>0</v>
      </c>
      <c r="K51" s="175"/>
    </row>
    <row r="52" spans="2:11" ht="13.8">
      <c r="B52" s="251">
        <f t="shared" si="0"/>
        <v>33</v>
      </c>
      <c r="C52" s="168"/>
      <c r="D52" s="176"/>
      <c r="E52" s="175"/>
      <c r="F52" s="175"/>
      <c r="G52" s="175"/>
      <c r="H52" s="175"/>
      <c r="I52" s="175"/>
      <c r="J52" s="175"/>
      <c r="K52" s="175"/>
    </row>
    <row r="53" spans="2:11" ht="13.8">
      <c r="B53" s="251">
        <f t="shared" si="0"/>
        <v>34</v>
      </c>
      <c r="C53" s="168"/>
      <c r="D53" s="176"/>
      <c r="E53" s="170"/>
      <c r="F53" s="170"/>
      <c r="G53" s="170"/>
      <c r="H53" s="170"/>
      <c r="I53" s="170"/>
      <c r="J53" s="170"/>
      <c r="K53" s="178"/>
    </row>
    <row r="54" spans="2:11" ht="14.1" customHeight="1">
      <c r="B54" s="251">
        <f t="shared" si="0"/>
        <v>35</v>
      </c>
      <c r="C54" s="826">
        <v>282</v>
      </c>
      <c r="D54" s="794" t="s">
        <v>1335</v>
      </c>
      <c r="E54" s="790">
        <f>Inputs!D269</f>
        <v>0</v>
      </c>
      <c r="F54" s="790">
        <f>E54/$E$13*$F$13</f>
        <v>0</v>
      </c>
      <c r="G54" s="790">
        <f>E54-F54</f>
        <v>0</v>
      </c>
      <c r="H54" s="389"/>
      <c r="I54" s="389"/>
      <c r="J54" s="790">
        <f>SUM(G54:I54)</f>
        <v>0</v>
      </c>
      <c r="K54" s="388"/>
    </row>
    <row r="55" spans="2:11" ht="14.1" customHeight="1">
      <c r="B55" s="251">
        <f t="shared" si="0"/>
        <v>36</v>
      </c>
      <c r="C55" s="826">
        <v>282</v>
      </c>
      <c r="D55" s="794" t="s">
        <v>1072</v>
      </c>
      <c r="E55" s="790">
        <f>Inputs!D270</f>
        <v>0</v>
      </c>
      <c r="F55" s="790">
        <f>E55/$E$13*$F$13</f>
        <v>0</v>
      </c>
      <c r="G55" s="790">
        <f>E55-F55</f>
        <v>0</v>
      </c>
      <c r="H55" s="389"/>
      <c r="I55" s="389"/>
      <c r="J55" s="790">
        <f>SUM(G55:I55)</f>
        <v>0</v>
      </c>
      <c r="K55" s="388"/>
    </row>
    <row r="56" spans="2:11" ht="13.8">
      <c r="B56" s="251">
        <f t="shared" si="0"/>
        <v>37</v>
      </c>
      <c r="C56" s="827"/>
      <c r="D56" s="388"/>
      <c r="E56" s="389"/>
      <c r="F56" s="790">
        <f>E56/$E$13*$F$13</f>
        <v>0</v>
      </c>
      <c r="G56" s="790">
        <f>E56-F56</f>
        <v>0</v>
      </c>
      <c r="H56" s="389"/>
      <c r="I56" s="389"/>
      <c r="J56" s="790">
        <f>SUM(G56:I56)</f>
        <v>0</v>
      </c>
      <c r="K56" s="389"/>
    </row>
    <row r="57" spans="2:11" ht="13.8">
      <c r="B57" s="251">
        <f t="shared" si="0"/>
        <v>38</v>
      </c>
      <c r="C57" s="387"/>
      <c r="D57" s="388"/>
      <c r="E57" s="389"/>
      <c r="F57" s="790">
        <f>E57/$E$13*$F$13</f>
        <v>0</v>
      </c>
      <c r="G57" s="790">
        <f>E57-F57</f>
        <v>0</v>
      </c>
      <c r="H57" s="389"/>
      <c r="I57" s="389"/>
      <c r="J57" s="790">
        <f>SUM(G57:I57)</f>
        <v>0</v>
      </c>
      <c r="K57" s="389"/>
    </row>
    <row r="58" spans="2:11" ht="13.8">
      <c r="B58" s="251">
        <f t="shared" si="0"/>
        <v>39</v>
      </c>
      <c r="C58" s="387"/>
      <c r="D58" s="388"/>
      <c r="E58" s="389"/>
      <c r="F58" s="790">
        <f>E58/$E$13*$F$13</f>
        <v>0</v>
      </c>
      <c r="G58" s="790">
        <f>E58-F58</f>
        <v>0</v>
      </c>
      <c r="H58" s="389"/>
      <c r="I58" s="389"/>
      <c r="J58" s="790">
        <f>SUM(G58:I58)</f>
        <v>0</v>
      </c>
      <c r="K58" s="389"/>
    </row>
    <row r="59" spans="2:11" ht="13.8">
      <c r="B59" s="251">
        <f t="shared" si="0"/>
        <v>40</v>
      </c>
      <c r="C59" s="382"/>
      <c r="D59" s="170"/>
      <c r="E59" s="175"/>
      <c r="F59" s="175"/>
      <c r="G59" s="175"/>
      <c r="H59" s="175"/>
      <c r="I59" s="175"/>
      <c r="J59" s="175"/>
      <c r="K59" s="175"/>
    </row>
    <row r="60" spans="2:11" ht="13.8">
      <c r="B60" s="251">
        <f t="shared" si="0"/>
        <v>41</v>
      </c>
      <c r="C60" s="382"/>
      <c r="D60" s="176" t="s">
        <v>1336</v>
      </c>
      <c r="E60" s="175">
        <f t="shared" ref="E60:J60" si="6">SUM(E54:E58)</f>
        <v>0</v>
      </c>
      <c r="F60" s="175">
        <f t="shared" si="6"/>
        <v>0</v>
      </c>
      <c r="G60" s="175">
        <f t="shared" si="6"/>
        <v>0</v>
      </c>
      <c r="H60" s="175">
        <f t="shared" si="6"/>
        <v>0</v>
      </c>
      <c r="I60" s="175">
        <f t="shared" si="6"/>
        <v>0</v>
      </c>
      <c r="J60" s="175">
        <f t="shared" si="6"/>
        <v>0</v>
      </c>
      <c r="K60" s="170" t="s">
        <v>1486</v>
      </c>
    </row>
    <row r="61" spans="2:11" ht="13.8">
      <c r="B61" s="251">
        <f t="shared" si="0"/>
        <v>42</v>
      </c>
      <c r="C61" s="382"/>
      <c r="D61" s="176" t="s">
        <v>1332</v>
      </c>
      <c r="E61" s="177"/>
      <c r="F61" s="177"/>
      <c r="G61" s="177"/>
      <c r="H61" s="177"/>
      <c r="I61" s="177"/>
      <c r="J61" s="177"/>
      <c r="K61" s="442"/>
    </row>
    <row r="62" spans="2:11" ht="13.8">
      <c r="B62" s="251">
        <f t="shared" si="0"/>
        <v>43</v>
      </c>
      <c r="C62" s="384"/>
      <c r="D62" s="176" t="s">
        <v>1307</v>
      </c>
      <c r="E62" s="175"/>
      <c r="F62" s="175"/>
      <c r="G62" s="175"/>
      <c r="H62" s="175"/>
      <c r="I62" s="175"/>
      <c r="J62" s="175"/>
      <c r="K62" s="443"/>
    </row>
    <row r="63" spans="2:11" ht="13.8">
      <c r="B63" s="251">
        <f t="shared" si="0"/>
        <v>44</v>
      </c>
      <c r="C63" s="384"/>
      <c r="D63" s="176"/>
      <c r="E63" s="175"/>
      <c r="F63" s="175"/>
      <c r="G63" s="175"/>
      <c r="H63" s="175"/>
      <c r="I63" s="175"/>
      <c r="J63" s="175"/>
      <c r="K63" s="443"/>
    </row>
    <row r="64" spans="2:11" ht="13.8">
      <c r="B64" s="251">
        <f t="shared" si="0"/>
        <v>45</v>
      </c>
      <c r="C64" s="384"/>
      <c r="D64" s="176"/>
      <c r="E64" s="175"/>
      <c r="F64" s="175"/>
      <c r="G64" s="175"/>
      <c r="H64" s="175"/>
      <c r="I64" s="175"/>
      <c r="J64" s="175"/>
      <c r="K64" s="175"/>
    </row>
    <row r="65" spans="2:11" ht="13.8">
      <c r="B65" s="251">
        <f t="shared" si="0"/>
        <v>46</v>
      </c>
      <c r="C65" s="384"/>
      <c r="D65" s="176"/>
      <c r="E65" s="175"/>
      <c r="F65" s="175"/>
      <c r="G65" s="175"/>
      <c r="H65" s="175"/>
      <c r="I65" s="175"/>
      <c r="J65" s="175"/>
      <c r="K65" s="175"/>
    </row>
    <row r="66" spans="2:11" ht="13.8">
      <c r="B66" s="251">
        <f t="shared" si="0"/>
        <v>47</v>
      </c>
      <c r="C66" s="826">
        <v>282</v>
      </c>
      <c r="D66" s="794" t="s">
        <v>1337</v>
      </c>
      <c r="E66" s="790">
        <f>Inputs!D271</f>
        <v>0</v>
      </c>
      <c r="F66" s="790">
        <f t="shared" ref="F66:F72" si="7">E66/$E$13*$F$13</f>
        <v>0</v>
      </c>
      <c r="G66" s="790">
        <f t="shared" ref="G66:G72" si="8">E66-F66</f>
        <v>0</v>
      </c>
      <c r="H66" s="389"/>
      <c r="I66" s="389"/>
      <c r="J66" s="790">
        <f t="shared" ref="J66:J72" si="9">SUM(G66:I66)</f>
        <v>0</v>
      </c>
      <c r="K66" s="388"/>
    </row>
    <row r="67" spans="2:11" ht="13.8">
      <c r="B67" s="251">
        <f t="shared" si="0"/>
        <v>48</v>
      </c>
      <c r="C67" s="826">
        <v>282</v>
      </c>
      <c r="D67" s="794" t="s">
        <v>1338</v>
      </c>
      <c r="E67" s="790">
        <f>Inputs!D272</f>
        <v>0</v>
      </c>
      <c r="F67" s="790">
        <f>E67/$E$13*$F$13</f>
        <v>0</v>
      </c>
      <c r="G67" s="790">
        <f>E67-F67</f>
        <v>0</v>
      </c>
      <c r="H67" s="389"/>
      <c r="I67" s="389"/>
      <c r="J67" s="790">
        <f t="shared" si="9"/>
        <v>0</v>
      </c>
      <c r="K67" s="388"/>
    </row>
    <row r="68" spans="2:11" ht="13.8">
      <c r="B68" s="251">
        <f t="shared" si="0"/>
        <v>49</v>
      </c>
      <c r="C68" s="826">
        <v>283</v>
      </c>
      <c r="D68" s="794" t="s">
        <v>1117</v>
      </c>
      <c r="E68" s="790">
        <f>Inputs!D273</f>
        <v>0</v>
      </c>
      <c r="F68" s="790">
        <f t="shared" si="7"/>
        <v>0</v>
      </c>
      <c r="G68" s="790">
        <f t="shared" si="8"/>
        <v>0</v>
      </c>
      <c r="H68" s="389"/>
      <c r="I68" s="389"/>
      <c r="J68" s="790">
        <f t="shared" si="9"/>
        <v>0</v>
      </c>
      <c r="K68" s="388"/>
    </row>
    <row r="69" spans="2:11" ht="13.8">
      <c r="B69" s="251">
        <f t="shared" si="0"/>
        <v>50</v>
      </c>
      <c r="C69" s="826">
        <v>283</v>
      </c>
      <c r="D69" s="794" t="s">
        <v>1120</v>
      </c>
      <c r="E69" s="790">
        <f>Inputs!D274</f>
        <v>0</v>
      </c>
      <c r="F69" s="790">
        <f t="shared" si="7"/>
        <v>0</v>
      </c>
      <c r="G69" s="790">
        <f t="shared" si="8"/>
        <v>0</v>
      </c>
      <c r="H69" s="389"/>
      <c r="I69" s="389"/>
      <c r="J69" s="790">
        <f t="shared" si="9"/>
        <v>0</v>
      </c>
      <c r="K69" s="388"/>
    </row>
    <row r="70" spans="2:11" ht="13.8">
      <c r="B70" s="251">
        <f t="shared" si="0"/>
        <v>51</v>
      </c>
      <c r="C70" s="387"/>
      <c r="D70" s="388"/>
      <c r="E70" s="389"/>
      <c r="F70" s="790">
        <f t="shared" si="7"/>
        <v>0</v>
      </c>
      <c r="G70" s="790">
        <f t="shared" si="8"/>
        <v>0</v>
      </c>
      <c r="H70" s="389"/>
      <c r="I70" s="389"/>
      <c r="J70" s="790">
        <f t="shared" si="9"/>
        <v>0</v>
      </c>
      <c r="K70" s="388"/>
    </row>
    <row r="71" spans="2:11" ht="13.8">
      <c r="B71" s="251">
        <f t="shared" si="0"/>
        <v>52</v>
      </c>
      <c r="C71" s="387"/>
      <c r="D71" s="388"/>
      <c r="E71" s="389"/>
      <c r="F71" s="790">
        <f t="shared" si="7"/>
        <v>0</v>
      </c>
      <c r="G71" s="790">
        <f t="shared" si="8"/>
        <v>0</v>
      </c>
      <c r="H71" s="389"/>
      <c r="I71" s="389"/>
      <c r="J71" s="790">
        <f t="shared" si="9"/>
        <v>0</v>
      </c>
      <c r="K71" s="389"/>
    </row>
    <row r="72" spans="2:11" ht="13.8">
      <c r="B72" s="251">
        <f t="shared" si="0"/>
        <v>53</v>
      </c>
      <c r="C72" s="387"/>
      <c r="D72" s="388"/>
      <c r="E72" s="389"/>
      <c r="F72" s="790">
        <f t="shared" si="7"/>
        <v>0</v>
      </c>
      <c r="G72" s="790">
        <f t="shared" si="8"/>
        <v>0</v>
      </c>
      <c r="H72" s="389"/>
      <c r="I72" s="389"/>
      <c r="J72" s="790">
        <f t="shared" si="9"/>
        <v>0</v>
      </c>
      <c r="K72" s="389"/>
    </row>
    <row r="73" spans="2:11" ht="13.8">
      <c r="B73" s="251">
        <f t="shared" si="0"/>
        <v>54</v>
      </c>
      <c r="C73" s="174"/>
      <c r="D73" s="170"/>
      <c r="E73" s="175"/>
      <c r="F73" s="790"/>
      <c r="G73" s="790"/>
      <c r="H73" s="175"/>
      <c r="I73" s="175"/>
      <c r="J73" s="175"/>
      <c r="K73" s="175"/>
    </row>
    <row r="74" spans="2:11" ht="13.8">
      <c r="B74" s="251">
        <f t="shared" si="0"/>
        <v>55</v>
      </c>
      <c r="C74" s="174"/>
      <c r="D74" s="176" t="s">
        <v>1339</v>
      </c>
      <c r="E74" s="175">
        <f t="shared" ref="E74:J74" si="10">SUM(E66:E72)</f>
        <v>0</v>
      </c>
      <c r="F74" s="175">
        <f t="shared" si="10"/>
        <v>0</v>
      </c>
      <c r="G74" s="175">
        <f t="shared" si="10"/>
        <v>0</v>
      </c>
      <c r="H74" s="175">
        <f t="shared" si="10"/>
        <v>0</v>
      </c>
      <c r="I74" s="175">
        <f t="shared" si="10"/>
        <v>0</v>
      </c>
      <c r="J74" s="175">
        <f t="shared" si="10"/>
        <v>0</v>
      </c>
      <c r="K74" s="170" t="s">
        <v>1486</v>
      </c>
    </row>
    <row r="75" spans="2:11" ht="13.8">
      <c r="B75" s="251">
        <f t="shared" si="0"/>
        <v>56</v>
      </c>
      <c r="C75" s="174"/>
      <c r="D75" s="176" t="s">
        <v>1332</v>
      </c>
      <c r="E75" s="175"/>
      <c r="F75" s="175"/>
      <c r="G75" s="175"/>
      <c r="H75" s="175"/>
      <c r="I75" s="175"/>
      <c r="J75" s="175"/>
      <c r="K75" s="175"/>
    </row>
    <row r="76" spans="2:11" ht="13.8">
      <c r="B76" s="251">
        <f t="shared" si="0"/>
        <v>57</v>
      </c>
      <c r="C76" s="174"/>
      <c r="D76" s="176" t="s">
        <v>1479</v>
      </c>
      <c r="F76" s="232"/>
      <c r="G76" s="232"/>
      <c r="H76" s="232"/>
      <c r="I76" s="232"/>
      <c r="J76" s="232"/>
      <c r="K76" s="170"/>
    </row>
    <row r="77" spans="2:11" ht="13.8">
      <c r="B77" s="251">
        <f t="shared" si="0"/>
        <v>58</v>
      </c>
      <c r="C77" s="174"/>
      <c r="D77" s="176" t="s">
        <v>1480</v>
      </c>
      <c r="E77" s="177"/>
      <c r="F77" s="177"/>
      <c r="G77" s="177"/>
      <c r="H77" s="177"/>
      <c r="I77" s="177"/>
      <c r="J77" s="177"/>
      <c r="K77" s="442"/>
    </row>
    <row r="78" spans="2:11" ht="13.8">
      <c r="B78" s="251">
        <f t="shared" si="0"/>
        <v>59</v>
      </c>
      <c r="C78" s="168"/>
      <c r="D78" s="176" t="s">
        <v>1481</v>
      </c>
      <c r="E78" s="175"/>
      <c r="F78" s="175"/>
      <c r="G78" s="175">
        <f>G60+G74</f>
        <v>0</v>
      </c>
      <c r="H78" s="175">
        <f>H60+H74</f>
        <v>0</v>
      </c>
      <c r="I78" s="175">
        <f>I60+I74</f>
        <v>0</v>
      </c>
      <c r="J78" s="175">
        <f>J60+J74</f>
        <v>0</v>
      </c>
      <c r="K78" s="443"/>
    </row>
    <row r="79" spans="2:11" ht="14.4" thickBot="1">
      <c r="B79" s="251">
        <f t="shared" si="0"/>
        <v>60</v>
      </c>
      <c r="C79" s="168"/>
      <c r="F79" s="175"/>
      <c r="G79" s="175"/>
      <c r="H79" s="175"/>
      <c r="I79" s="175"/>
      <c r="J79" s="175"/>
      <c r="K79" s="175"/>
    </row>
    <row r="80" spans="2:11" ht="14.4" thickBot="1">
      <c r="B80" s="251">
        <f t="shared" si="0"/>
        <v>61</v>
      </c>
      <c r="D80" s="176" t="s">
        <v>1488</v>
      </c>
      <c r="F80" s="175"/>
      <c r="G80" s="175"/>
      <c r="H80" s="175"/>
      <c r="I80" s="175"/>
      <c r="J80" s="511">
        <f>Inputs!D276</f>
        <v>0</v>
      </c>
    </row>
    <row r="81" spans="1:11" ht="13.8">
      <c r="B81" s="251">
        <f t="shared" si="0"/>
        <v>62</v>
      </c>
      <c r="D81" s="176"/>
      <c r="E81" s="175"/>
      <c r="F81" s="175"/>
      <c r="G81" s="175"/>
      <c r="H81" s="175"/>
      <c r="I81" s="175"/>
      <c r="J81" s="175"/>
      <c r="K81" s="175"/>
    </row>
    <row r="82" spans="1:11" ht="16.8">
      <c r="B82" s="251">
        <f t="shared" si="0"/>
        <v>63</v>
      </c>
      <c r="C82" s="385"/>
      <c r="D82" s="259"/>
      <c r="E82" s="260"/>
      <c r="F82" s="260"/>
      <c r="G82" s="260"/>
      <c r="H82" s="260"/>
      <c r="I82" s="260"/>
      <c r="J82" s="260"/>
      <c r="K82" s="260"/>
    </row>
    <row r="83" spans="1:11" ht="13.8">
      <c r="B83" s="251">
        <f t="shared" si="0"/>
        <v>64</v>
      </c>
      <c r="C83" s="170"/>
      <c r="D83" s="170"/>
      <c r="E83" s="170"/>
      <c r="F83" s="170"/>
      <c r="G83" s="170"/>
      <c r="H83" s="170"/>
      <c r="I83" s="170"/>
      <c r="J83" s="170"/>
      <c r="K83" s="170"/>
    </row>
    <row r="84" spans="1:11" ht="13.8">
      <c r="B84" s="251">
        <f t="shared" si="0"/>
        <v>65</v>
      </c>
      <c r="C84" s="962" t="s">
        <v>1436</v>
      </c>
      <c r="D84" s="962"/>
      <c r="E84" s="962"/>
      <c r="F84" s="962"/>
      <c r="G84" s="962"/>
      <c r="H84" s="962"/>
    </row>
    <row r="85" spans="1:11" ht="13.8">
      <c r="B85" s="251">
        <f t="shared" si="0"/>
        <v>66</v>
      </c>
    </row>
    <row r="86" spans="1:11" ht="13.8">
      <c r="B86" s="251">
        <f t="shared" si="0"/>
        <v>67</v>
      </c>
      <c r="C86" s="962" t="s">
        <v>1437</v>
      </c>
      <c r="D86" s="962"/>
      <c r="E86" s="962"/>
      <c r="F86" s="962"/>
      <c r="G86" s="962"/>
      <c r="H86" s="962"/>
    </row>
    <row r="87" spans="1:11" ht="13.8">
      <c r="B87" s="251">
        <f>B86+1</f>
        <v>68</v>
      </c>
    </row>
    <row r="88" spans="1:11" ht="13.8">
      <c r="B88" s="251">
        <f>B87+1</f>
        <v>69</v>
      </c>
      <c r="C88" s="962" t="s">
        <v>1439</v>
      </c>
      <c r="D88" s="962"/>
      <c r="E88" s="962"/>
      <c r="F88" s="962"/>
      <c r="G88" s="962"/>
      <c r="H88" s="962"/>
    </row>
    <row r="89" spans="1:11" ht="13.8">
      <c r="B89" s="251">
        <f>B88+1</f>
        <v>70</v>
      </c>
    </row>
    <row r="90" spans="1:11" ht="13.8">
      <c r="B90" s="251">
        <f>B89+1</f>
        <v>71</v>
      </c>
      <c r="C90" s="962" t="s">
        <v>1440</v>
      </c>
      <c r="D90" s="962"/>
      <c r="E90" s="962"/>
      <c r="F90" s="962"/>
      <c r="G90" s="962"/>
      <c r="H90" s="962"/>
    </row>
    <row r="91" spans="1:11" ht="13.8">
      <c r="B91" s="251"/>
      <c r="C91" s="732"/>
      <c r="D91" s="732"/>
      <c r="E91" s="732"/>
      <c r="F91" s="732"/>
      <c r="G91" s="732"/>
      <c r="H91" s="732"/>
    </row>
    <row r="92" spans="1:11" ht="13.8">
      <c r="A92" s="953" t="s">
        <v>1489</v>
      </c>
      <c r="B92" s="953"/>
      <c r="C92" s="953"/>
      <c r="D92" s="953"/>
      <c r="E92" s="953"/>
      <c r="F92" s="953"/>
      <c r="G92" s="953"/>
      <c r="H92" s="953"/>
      <c r="I92" s="953"/>
      <c r="J92" s="953"/>
      <c r="K92" s="953"/>
    </row>
    <row r="93" spans="1:11" ht="13.8">
      <c r="A93" s="943" t="s">
        <v>504</v>
      </c>
      <c r="B93" s="943"/>
      <c r="C93" s="943"/>
      <c r="D93" s="943"/>
      <c r="E93" s="943"/>
      <c r="F93" s="943"/>
      <c r="G93" s="943"/>
      <c r="H93" s="943"/>
      <c r="I93" s="943"/>
      <c r="J93" s="943"/>
      <c r="K93" s="943"/>
    </row>
    <row r="152" spans="6:10">
      <c r="F152" s="829"/>
      <c r="G152" s="829"/>
      <c r="I152" s="829"/>
      <c r="J152" s="829"/>
    </row>
    <row r="153" spans="6:10">
      <c r="F153" s="829"/>
      <c r="G153" s="829"/>
      <c r="I153" s="829"/>
      <c r="J153" s="829"/>
    </row>
    <row r="154" spans="6:10">
      <c r="F154" s="830"/>
      <c r="G154" s="830"/>
      <c r="I154" s="830"/>
      <c r="J154" s="830"/>
    </row>
    <row r="155" spans="6:10">
      <c r="F155" s="829"/>
      <c r="G155" s="829"/>
      <c r="I155" s="829"/>
      <c r="J155" s="829"/>
    </row>
    <row r="157" spans="6:10">
      <c r="F157" s="831"/>
      <c r="G157" s="829"/>
      <c r="I157" s="831"/>
      <c r="J157" s="829"/>
    </row>
    <row r="158" spans="6:10">
      <c r="F158" s="832"/>
      <c r="I158" s="833"/>
    </row>
    <row r="160" spans="6:10">
      <c r="G160" s="829"/>
      <c r="J160" s="829"/>
    </row>
  </sheetData>
  <mergeCells count="9">
    <mergeCell ref="C90:H90"/>
    <mergeCell ref="A92:K92"/>
    <mergeCell ref="A93:K93"/>
    <mergeCell ref="A1:K1"/>
    <mergeCell ref="A2:K2"/>
    <mergeCell ref="C6:H6"/>
    <mergeCell ref="C84:H84"/>
    <mergeCell ref="C86:H86"/>
    <mergeCell ref="C88:H88"/>
  </mergeCells>
  <printOptions horizontalCentered="1"/>
  <pageMargins left="0.7" right="0.7" top="0.75" bottom="0.75" header="0.3" footer="0.3"/>
  <pageSetup scale="35" orientation="landscape" r:id="rId1"/>
  <headerFooter>
    <oddHeader>&amp;C&amp;"Arial,Bold"ADDENDUM 27 TO ATTACHMENT H, Page &amp;P of &amp;N
NorthWestern Corporation (South Dakota)</oddHeader>
  </headerFooter>
</worksheet>
</file>

<file path=docMetadata/LabelInfo.xml><?xml version="1.0" encoding="utf-8"?>
<clbl:labelList xmlns:clbl="http://schemas.microsoft.com/office/2020/mipLabelMetadata">
  <clbl:label id="{e9692091-66b8-45b5-9087-387cbcef98ca}" enabled="1" method="Privileged" siteId="{3230926a-71b7-4370-a137-197badc066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11</vt:i4>
      </vt:variant>
    </vt:vector>
  </HeadingPairs>
  <TitlesOfParts>
    <vt:vector size="35" baseType="lpstr">
      <vt:lpstr>Table</vt:lpstr>
      <vt:lpstr>Inputs</vt:lpstr>
      <vt:lpstr>AppendixA</vt:lpstr>
      <vt:lpstr>1-ADIT</vt:lpstr>
      <vt:lpstr>1.5-RBAM Summary</vt:lpstr>
      <vt:lpstr>1.5.1a-TCJA RBAM</vt:lpstr>
      <vt:lpstr>1.5.1b-EDIT Remeasure </vt:lpstr>
      <vt:lpstr>1.5.2a-Tax Change RBAM</vt:lpstr>
      <vt:lpstr>1.5.2b-EDIT Remeasure</vt:lpstr>
      <vt:lpstr>1.6-ITAAM Summary</vt:lpstr>
      <vt:lpstr>1.6.1a-TCJA ITAAM</vt:lpstr>
      <vt:lpstr>1.6.2a-Tax Change ITAAM</vt:lpstr>
      <vt:lpstr>2-OtherTaxes</vt:lpstr>
      <vt:lpstr>3-RevenueCredits</vt:lpstr>
      <vt:lpstr>4-Non-EscrowedFunds</vt:lpstr>
      <vt:lpstr>5-CostSupport</vt:lpstr>
      <vt:lpstr>6-WACC</vt:lpstr>
      <vt:lpstr>7-ComStock</vt:lpstr>
      <vt:lpstr>8-PrefStock</vt:lpstr>
      <vt:lpstr>9-LTD</vt:lpstr>
      <vt:lpstr>10 - Depr Rates</vt:lpstr>
      <vt:lpstr>11 - Facilities</vt:lpstr>
      <vt:lpstr>12 - Base Plan Funded Projects</vt:lpstr>
      <vt:lpstr>List of Reference Updates</vt:lpstr>
      <vt:lpstr>'1.6.2a-Tax Change ITAAM'!Print_Area</vt:lpstr>
      <vt:lpstr>'1.6-ITAAM Summary'!Print_Area</vt:lpstr>
      <vt:lpstr>'10 - Depr Rates'!Print_Area</vt:lpstr>
      <vt:lpstr>'11 - Facilities'!Print_Area</vt:lpstr>
      <vt:lpstr>'12 - Base Plan Funded Projects'!Print_Area</vt:lpstr>
      <vt:lpstr>'3-RevenueCredits'!Print_Area</vt:lpstr>
      <vt:lpstr>'5-CostSupport'!Print_Area</vt:lpstr>
      <vt:lpstr>'6-WACC'!Print_Area</vt:lpstr>
      <vt:lpstr>AppendixA!Print_Area</vt:lpstr>
      <vt:lpstr>Inputs!Print_Area</vt:lpstr>
      <vt:lpstr>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
  <cp:lastModifiedBy/>
  <dcterms:created xsi:type="dcterms:W3CDTF">1901-01-01T06:00:00Z</dcterms:created>
  <dcterms:modified xsi:type="dcterms:W3CDTF">2026-03-05T16:46:29Z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2026-03-05T16:46:17Z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70c45a49-0451-4387-a39d-be57024417d2</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