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180" activeTab="2"/>
  </bookViews>
  <sheets>
    <sheet name="Approved Program-Budget Summary" sheetId="1" r:id="rId1"/>
    <sheet name="Table ES1 &amp; ES2" sheetId="2" r:id="rId2"/>
    <sheet name="Table ES1 &amp; ES2 (2)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30" i="1"/>
  <c r="M29" i="1"/>
  <c r="M23" i="1"/>
  <c r="M22" i="1"/>
  <c r="M21" i="1"/>
  <c r="M20" i="1"/>
  <c r="M19" i="1"/>
  <c r="M18" i="1"/>
  <c r="M17" i="1"/>
  <c r="L30" i="1"/>
  <c r="L29" i="1"/>
  <c r="L23" i="1"/>
  <c r="L22" i="1"/>
  <c r="L21" i="1"/>
  <c r="L20" i="1"/>
  <c r="L19" i="1"/>
  <c r="L18" i="1"/>
  <c r="L17" i="1"/>
  <c r="K30" i="1"/>
  <c r="K29" i="1"/>
  <c r="K23" i="1"/>
  <c r="K22" i="1"/>
  <c r="K21" i="1"/>
  <c r="K20" i="1"/>
  <c r="K19" i="1"/>
  <c r="K18" i="1"/>
  <c r="K17" i="1"/>
  <c r="J30" i="1"/>
  <c r="J29" i="1"/>
  <c r="J23" i="1"/>
  <c r="J22" i="1"/>
  <c r="J21" i="1"/>
  <c r="J20" i="1"/>
  <c r="J19" i="1"/>
  <c r="J18" i="1"/>
  <c r="J17" i="1"/>
  <c r="G30" i="1"/>
  <c r="G29" i="1"/>
  <c r="G19" i="1"/>
  <c r="G18" i="1"/>
  <c r="G17" i="1"/>
  <c r="E30" i="1"/>
  <c r="E29" i="1"/>
  <c r="E23" i="1"/>
  <c r="E22" i="1"/>
  <c r="E21" i="1"/>
  <c r="E20" i="1"/>
  <c r="E19" i="1"/>
  <c r="E18" i="1"/>
  <c r="E17" i="1"/>
  <c r="E11" i="1"/>
  <c r="E9" i="1"/>
  <c r="H30" i="1" l="1"/>
  <c r="H29" i="1"/>
  <c r="H23" i="1"/>
  <c r="H22" i="1"/>
  <c r="H21" i="1"/>
  <c r="H20" i="1"/>
  <c r="H19" i="1"/>
  <c r="H18" i="1"/>
  <c r="H17" i="1"/>
  <c r="E7" i="3" l="1"/>
  <c r="E8" i="3"/>
  <c r="E9" i="3"/>
  <c r="C11" i="3"/>
  <c r="D11" i="3"/>
  <c r="C19" i="3"/>
  <c r="E19" i="3" s="1"/>
  <c r="C20" i="3"/>
  <c r="E20" i="3" s="1"/>
  <c r="C21" i="3"/>
  <c r="E21" i="3" s="1"/>
  <c r="C22" i="3"/>
  <c r="E22" i="3" s="1"/>
  <c r="C23" i="3"/>
  <c r="E23" i="3" s="1"/>
  <c r="C24" i="3"/>
  <c r="E24" i="3" s="1"/>
  <c r="C25" i="3"/>
  <c r="E25" i="3" s="1"/>
  <c r="C27" i="3"/>
  <c r="E27" i="3" s="1"/>
  <c r="C28" i="3"/>
  <c r="E28" i="3" s="1"/>
  <c r="D31" i="3"/>
  <c r="H31" i="3"/>
  <c r="H30" i="3"/>
  <c r="H29" i="3"/>
  <c r="H28" i="3"/>
  <c r="H27" i="3"/>
  <c r="H25" i="3"/>
  <c r="H24" i="3"/>
  <c r="G24" i="3"/>
  <c r="H23" i="3"/>
  <c r="H22" i="3"/>
  <c r="G22" i="3"/>
  <c r="H21" i="3"/>
  <c r="H20" i="3"/>
  <c r="H19" i="3"/>
  <c r="H11" i="3"/>
  <c r="G27" i="3"/>
  <c r="G21" i="3"/>
  <c r="G20" i="3"/>
  <c r="E11" i="3" l="1"/>
  <c r="G23" i="3"/>
  <c r="I23" i="3" s="1"/>
  <c r="G25" i="3"/>
  <c r="I25" i="3" s="1"/>
  <c r="G19" i="3"/>
  <c r="I19" i="3" s="1"/>
  <c r="G28" i="3"/>
  <c r="I28" i="3" s="1"/>
  <c r="I20" i="3"/>
  <c r="I22" i="3"/>
  <c r="I24" i="3"/>
  <c r="I27" i="3"/>
  <c r="I21" i="3"/>
  <c r="G31" i="2"/>
  <c r="G30" i="2"/>
  <c r="G29" i="2"/>
  <c r="G28" i="2"/>
  <c r="F28" i="2"/>
  <c r="F27" i="2"/>
  <c r="G27" i="2"/>
  <c r="G25" i="2"/>
  <c r="F25" i="2"/>
  <c r="G24" i="2"/>
  <c r="F24" i="2"/>
  <c r="G23" i="2"/>
  <c r="F23" i="2"/>
  <c r="G22" i="2"/>
  <c r="F22" i="2"/>
  <c r="H22" i="2" s="1"/>
  <c r="G21" i="2"/>
  <c r="F21" i="2"/>
  <c r="G20" i="2"/>
  <c r="F20" i="2"/>
  <c r="F19" i="2"/>
  <c r="H19" i="2" s="1"/>
  <c r="G19" i="2"/>
  <c r="C31" i="2"/>
  <c r="B28" i="2"/>
  <c r="D28" i="2" s="1"/>
  <c r="B27" i="2"/>
  <c r="D27" i="2" s="1"/>
  <c r="B25" i="2"/>
  <c r="D25" i="2" s="1"/>
  <c r="B24" i="2"/>
  <c r="D24" i="2" s="1"/>
  <c r="B23" i="2"/>
  <c r="D23" i="2" s="1"/>
  <c r="B22" i="2"/>
  <c r="D22" i="2" s="1"/>
  <c r="B21" i="2"/>
  <c r="D21" i="2" s="1"/>
  <c r="B20" i="2"/>
  <c r="D20" i="2" s="1"/>
  <c r="B19" i="2"/>
  <c r="D19" i="2" s="1"/>
  <c r="M31" i="1"/>
  <c r="M11" i="1" s="1"/>
  <c r="L31" i="1"/>
  <c r="L11" i="1" s="1"/>
  <c r="K31" i="1"/>
  <c r="K11" i="1" s="1"/>
  <c r="J31" i="1"/>
  <c r="J11" i="1" s="1"/>
  <c r="H31" i="1"/>
  <c r="G31" i="1"/>
  <c r="G11" i="1" s="1"/>
  <c r="E31" i="1"/>
  <c r="G11" i="2"/>
  <c r="D9" i="2"/>
  <c r="D8" i="2"/>
  <c r="D7" i="2"/>
  <c r="C11" i="2"/>
  <c r="D11" i="2" s="1"/>
  <c r="B11" i="2"/>
  <c r="M24" i="1"/>
  <c r="M9" i="1" s="1"/>
  <c r="L24" i="1"/>
  <c r="L9" i="1" s="1"/>
  <c r="K24" i="1"/>
  <c r="K9" i="1" s="1"/>
  <c r="J24" i="1"/>
  <c r="J9" i="1" s="1"/>
  <c r="H24" i="1"/>
  <c r="G24" i="1"/>
  <c r="G9" i="1" s="1"/>
  <c r="F8" i="2" l="1"/>
  <c r="H8" i="2" s="1"/>
  <c r="G7" i="3"/>
  <c r="G8" i="3"/>
  <c r="I8" i="3" s="1"/>
  <c r="F7" i="2"/>
  <c r="H7" i="2" s="1"/>
  <c r="H20" i="2"/>
  <c r="H27" i="2"/>
  <c r="H24" i="2"/>
  <c r="H21" i="2"/>
  <c r="H23" i="2"/>
  <c r="H25" i="2"/>
  <c r="H28" i="2"/>
  <c r="E24" i="1"/>
  <c r="M7" i="1"/>
  <c r="L7" i="1"/>
  <c r="K7" i="1"/>
  <c r="J7" i="1"/>
  <c r="G7" i="1"/>
  <c r="C29" i="3" l="1"/>
  <c r="G9" i="3"/>
  <c r="I9" i="3" s="1"/>
  <c r="G29" i="3"/>
  <c r="G30" i="3"/>
  <c r="I30" i="3" s="1"/>
  <c r="G10" i="3"/>
  <c r="I10" i="3" s="1"/>
  <c r="I7" i="3"/>
  <c r="B29" i="2"/>
  <c r="E25" i="1"/>
  <c r="E26" i="1" s="1"/>
  <c r="F29" i="2"/>
  <c r="H29" i="2" s="1"/>
  <c r="F10" i="2"/>
  <c r="H10" i="2" s="1"/>
  <c r="F30" i="2"/>
  <c r="F9" i="2"/>
  <c r="N9" i="1"/>
  <c r="H9" i="1" s="1"/>
  <c r="N11" i="1"/>
  <c r="H11" i="1" s="1"/>
  <c r="E32" i="1"/>
  <c r="E33" i="1" s="1"/>
  <c r="H9" i="2"/>
  <c r="H7" i="1" l="1"/>
  <c r="G11" i="3"/>
  <c r="I11" i="3" s="1"/>
  <c r="F11" i="2"/>
  <c r="H11" i="2" s="1"/>
  <c r="I29" i="3"/>
  <c r="G31" i="3"/>
  <c r="I31" i="3" s="1"/>
  <c r="E29" i="3"/>
  <c r="C31" i="3"/>
  <c r="E31" i="3" s="1"/>
  <c r="D29" i="2"/>
  <c r="B31" i="2"/>
  <c r="D31" i="2" s="1"/>
  <c r="H30" i="2"/>
  <c r="F31" i="2"/>
  <c r="H31" i="2" s="1"/>
  <c r="E7" i="1" l="1"/>
</calcChain>
</file>

<file path=xl/sharedStrings.xml><?xml version="1.0" encoding="utf-8"?>
<sst xmlns="http://schemas.openxmlformats.org/spreadsheetml/2006/main" count="99" uniqueCount="47">
  <si>
    <t>Total Portfolio</t>
  </si>
  <si>
    <t>Incentives</t>
  </si>
  <si>
    <t>Non-Incentives</t>
  </si>
  <si>
    <t>Delivery</t>
  </si>
  <si>
    <t>Administration</t>
  </si>
  <si>
    <t>Marketing</t>
  </si>
  <si>
    <t>Evaluation</t>
  </si>
  <si>
    <t>Cross Marketing &amp; Training</t>
  </si>
  <si>
    <t>Residential Lighting:</t>
  </si>
  <si>
    <t>Residential Appliance Recycling:</t>
  </si>
  <si>
    <t>Residential High Efficiency HVAC:</t>
  </si>
  <si>
    <t>Whole House Efficiency:</t>
  </si>
  <si>
    <t>Residential Audit:</t>
  </si>
  <si>
    <t>School-Based Education:</t>
  </si>
  <si>
    <t>Weatherization:</t>
  </si>
  <si>
    <t>Custom:</t>
  </si>
  <si>
    <t>Prescriptive:</t>
  </si>
  <si>
    <t>Additional Cross Marketing &amp; Training:</t>
  </si>
  <si>
    <t>Residential Program Sub-Total:</t>
  </si>
  <si>
    <t>RESIDENTIAL PROGRAMS</t>
  </si>
  <si>
    <t>COMMERCIAL &amp; INDUSTRIAL PROGRAMS</t>
  </si>
  <si>
    <t>Commercial &amp; Industrial Program Sub-Total:</t>
  </si>
  <si>
    <t>BLACK HILLS ENERGY</t>
  </si>
  <si>
    <t>September 1, 2015 to August 31, 2016 Plan Year</t>
  </si>
  <si>
    <t>RESIDENTIAL</t>
  </si>
  <si>
    <t>COMMERCIAL &amp; INDUSTRIAL</t>
  </si>
  <si>
    <t>Energy Efficiency Solutions Program - Approved Budget - Summary</t>
  </si>
  <si>
    <t>Residential</t>
  </si>
  <si>
    <t>General Administration</t>
  </si>
  <si>
    <t>Total</t>
  </si>
  <si>
    <t>Sector</t>
  </si>
  <si>
    <t>PY2015 Goal</t>
  </si>
  <si>
    <t>PY2015 Actual</t>
  </si>
  <si>
    <t>% of Budget</t>
  </si>
  <si>
    <t>Residential Programs</t>
  </si>
  <si>
    <t>C&amp;I Programs</t>
  </si>
  <si>
    <t>PY2015 Budget</t>
  </si>
  <si>
    <t>PY2015 Expenditures</t>
  </si>
  <si>
    <t>Report</t>
  </si>
  <si>
    <t>Amended</t>
  </si>
  <si>
    <t>Table ES2: PY2016 PORTFOLIO SUMMARY OF PROGRAM BUDGET VS ACTUAL EXPENDITURES BY PROGRAM</t>
  </si>
  <si>
    <t>Table ES1: PY2016 PORTFOLIO SUMMARY OF ACTUAL SPEND VS PROJECTED BUDGET BY SECTOR</t>
  </si>
  <si>
    <t>Commercial &amp; Industrial (C&amp;I)</t>
  </si>
  <si>
    <t>PY2016 Goal</t>
  </si>
  <si>
    <t>PY2016 Budget</t>
  </si>
  <si>
    <t>Table ES1: PY2016 PORTFOLIO SUMMARY OF PROJECTED BUDGET BY SECTOR</t>
  </si>
  <si>
    <t>Table ES2: PY2016 PORTFOLIO SUMMARY OF PROGRAM BUDGET BY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</si>
</sst>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1" xfId="0" applyNumberFormat="1" applyBorder="1"/>
    <xf numFmtId="164" fontId="0" fillId="0" borderId="0" xfId="0" applyNumberFormat="1" applyBorder="1"/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center" wrapText="1"/>
    </xf>
    <xf numFmtId="9" fontId="0" fillId="0" borderId="0" xfId="1" applyFont="1"/>
    <xf numFmtId="0" fontId="0" fillId="0" borderId="0" xfId="0" applyBorder="1"/>
    <xf numFmtId="0" fontId="5" fillId="0" borderId="0" xfId="0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L7MPABZW\1-1a.%20Black%20Hills%20South%20Dakota%20PY2-3_ADJ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Portfolio Inputs"/>
      <sheetName val="2015"/>
      <sheetName val="2016"/>
      <sheetName val="Sources"/>
      <sheetName val="2015 Screen"/>
      <sheetName val="2016 Screen"/>
      <sheetName val="Measure Calculations"/>
      <sheetName val="General Inputs"/>
    </sheetNames>
    <sheetDataSet>
      <sheetData sheetId="0" refreshError="1"/>
      <sheetData sheetId="1">
        <row r="5">
          <cell r="T5">
            <v>47961.5</v>
          </cell>
        </row>
        <row r="6">
          <cell r="AK6">
            <v>299034.57499999995</v>
          </cell>
        </row>
        <row r="7">
          <cell r="Q7">
            <v>25600</v>
          </cell>
          <cell r="W7">
            <v>8672</v>
          </cell>
          <cell r="Y7">
            <v>1280</v>
          </cell>
          <cell r="AA7">
            <v>3072</v>
          </cell>
          <cell r="AC7">
            <v>1931.2</v>
          </cell>
          <cell r="AK7">
            <v>40555.199999999997</v>
          </cell>
        </row>
        <row r="11">
          <cell r="Q11">
            <v>4000</v>
          </cell>
          <cell r="W11">
            <v>8000</v>
          </cell>
          <cell r="Y11">
            <v>200</v>
          </cell>
          <cell r="AA11">
            <v>400</v>
          </cell>
          <cell r="AC11">
            <v>630</v>
          </cell>
          <cell r="AK11">
            <v>13230</v>
          </cell>
        </row>
        <row r="15">
          <cell r="Q15">
            <v>53700</v>
          </cell>
          <cell r="W15">
            <v>5370</v>
          </cell>
          <cell r="Y15">
            <v>2685</v>
          </cell>
          <cell r="AA15">
            <v>6444</v>
          </cell>
          <cell r="AC15">
            <v>3409.9500000000003</v>
          </cell>
          <cell r="AK15">
            <v>71608.95</v>
          </cell>
        </row>
        <row r="27">
          <cell r="W27">
            <v>62500</v>
          </cell>
          <cell r="Y27">
            <v>5000</v>
          </cell>
          <cell r="AA27">
            <v>3125</v>
          </cell>
          <cell r="AC27">
            <v>3531.25</v>
          </cell>
          <cell r="AK27">
            <v>37078.125</v>
          </cell>
        </row>
        <row r="37">
          <cell r="W37">
            <v>22000</v>
          </cell>
          <cell r="Y37">
            <v>960</v>
          </cell>
          <cell r="AA37">
            <v>1100</v>
          </cell>
          <cell r="AC37">
            <v>1203</v>
          </cell>
          <cell r="AK37">
            <v>25263</v>
          </cell>
        </row>
        <row r="43">
          <cell r="W43">
            <v>60000</v>
          </cell>
          <cell r="Y43">
            <v>3000</v>
          </cell>
          <cell r="AA43">
            <v>0</v>
          </cell>
          <cell r="AC43">
            <v>3150</v>
          </cell>
          <cell r="AK43">
            <v>66150</v>
          </cell>
        </row>
        <row r="44">
          <cell r="W44">
            <v>10500</v>
          </cell>
          <cell r="Y44">
            <v>525</v>
          </cell>
          <cell r="AA44">
            <v>0</v>
          </cell>
          <cell r="AC44">
            <v>551.25</v>
          </cell>
          <cell r="AK44">
            <v>11576.25</v>
          </cell>
        </row>
        <row r="54">
          <cell r="AK54">
            <v>604021.98750000005</v>
          </cell>
        </row>
        <row r="55">
          <cell r="Q55">
            <v>218350</v>
          </cell>
          <cell r="W55">
            <v>26202</v>
          </cell>
          <cell r="Y55">
            <v>26202</v>
          </cell>
          <cell r="AA55">
            <v>32752.5</v>
          </cell>
          <cell r="AC55">
            <v>15175.325000000001</v>
          </cell>
          <cell r="AK55">
            <v>318681.82500000001</v>
          </cell>
        </row>
        <row r="56">
          <cell r="Q56">
            <v>177965</v>
          </cell>
          <cell r="W56">
            <v>26694.75</v>
          </cell>
          <cell r="Y56">
            <v>26694.75</v>
          </cell>
          <cell r="AA56">
            <v>26694.75</v>
          </cell>
          <cell r="AC56">
            <v>12902.462500000001</v>
          </cell>
          <cell r="AK56">
            <v>270951.71250000002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J37" sqref="J37"/>
    </sheetView>
  </sheetViews>
  <sheetFormatPr defaultRowHeight="14.4" x14ac:dyDescent="0.3"/>
  <cols>
    <col min="1" max="2" width="4.6640625" customWidth="1"/>
    <col min="3" max="3" width="22.6640625" bestFit="1" customWidth="1"/>
    <col min="6" max="6" width="1.6640625" customWidth="1"/>
    <col min="7" max="7" width="14.6640625" customWidth="1"/>
    <col min="8" max="8" width="14.6640625" bestFit="1" customWidth="1"/>
    <col min="9" max="9" width="1.6640625" customWidth="1"/>
    <col min="10" max="14" width="14.6640625" customWidth="1"/>
  </cols>
  <sheetData>
    <row r="1" spans="1:16" ht="21" x14ac:dyDescent="0.35">
      <c r="A1" s="11" t="s">
        <v>22</v>
      </c>
      <c r="B1" s="10"/>
    </row>
    <row r="2" spans="1:16" ht="18.75" x14ac:dyDescent="0.3">
      <c r="A2" s="10"/>
      <c r="B2" s="10" t="s">
        <v>26</v>
      </c>
    </row>
    <row r="3" spans="1:16" ht="18.75" x14ac:dyDescent="0.3">
      <c r="A3" s="10"/>
      <c r="B3" s="10"/>
      <c r="C3" s="9" t="s">
        <v>23</v>
      </c>
    </row>
    <row r="4" spans="1:16" ht="15.75" thickBot="1" x14ac:dyDescent="0.3"/>
    <row r="5" spans="1:16" ht="15.75" thickBot="1" x14ac:dyDescent="0.3">
      <c r="J5" s="5" t="s">
        <v>2</v>
      </c>
      <c r="K5" s="6"/>
      <c r="L5" s="6"/>
      <c r="M5" s="6"/>
      <c r="N5" s="7"/>
    </row>
    <row r="6" spans="1:16" ht="45.75" thickBot="1" x14ac:dyDescent="0.3">
      <c r="G6" s="8" t="s">
        <v>1</v>
      </c>
      <c r="H6" s="8" t="s">
        <v>2</v>
      </c>
      <c r="J6" s="8" t="s">
        <v>3</v>
      </c>
      <c r="K6" s="8" t="s">
        <v>4</v>
      </c>
      <c r="L6" s="8" t="s">
        <v>5</v>
      </c>
      <c r="M6" s="8" t="s">
        <v>6</v>
      </c>
      <c r="N6" s="12" t="s">
        <v>7</v>
      </c>
    </row>
    <row r="7" spans="1:16" ht="15" x14ac:dyDescent="0.25">
      <c r="C7" t="s">
        <v>0</v>
      </c>
      <c r="E7" s="1">
        <f>+E9+E11</f>
        <v>903056.5625</v>
      </c>
      <c r="G7" s="1">
        <f t="shared" ref="G7:H7" si="0">+G9+G11</f>
        <v>479615</v>
      </c>
      <c r="H7" s="1">
        <f t="shared" si="0"/>
        <v>423441.5625</v>
      </c>
      <c r="J7" s="1">
        <f t="shared" ref="J7:M7" si="1">+J9+J11</f>
        <v>198688.75</v>
      </c>
      <c r="K7" s="1">
        <f t="shared" si="1"/>
        <v>64046.75</v>
      </c>
      <c r="L7" s="1">
        <f t="shared" si="1"/>
        <v>72025.75</v>
      </c>
      <c r="M7" s="1">
        <f t="shared" si="1"/>
        <v>40718.8125</v>
      </c>
      <c r="N7" s="1">
        <f>+'[1]Portfolio Inputs'!$T$5</f>
        <v>47961.5</v>
      </c>
      <c r="O7" s="1"/>
      <c r="P7" s="1"/>
    </row>
    <row r="8" spans="1:16" ht="15" x14ac:dyDescent="0.25">
      <c r="E8" s="1"/>
    </row>
    <row r="9" spans="1:16" ht="15" x14ac:dyDescent="0.25">
      <c r="C9" t="s">
        <v>24</v>
      </c>
      <c r="E9" s="1">
        <f>+'[1]Portfolio Inputs'!$AK$6</f>
        <v>299034.57499999995</v>
      </c>
      <c r="G9" s="1">
        <f>+G24</f>
        <v>83300</v>
      </c>
      <c r="H9" s="1">
        <f>SUM(J9:N9)</f>
        <v>215734.57499999998</v>
      </c>
      <c r="J9" s="1">
        <f>+J24</f>
        <v>145792</v>
      </c>
      <c r="K9" s="1">
        <f t="shared" ref="K9:M9" si="2">+K24</f>
        <v>11150</v>
      </c>
      <c r="L9" s="1">
        <f t="shared" si="2"/>
        <v>12578.5</v>
      </c>
      <c r="M9" s="1">
        <f t="shared" si="2"/>
        <v>12641.025</v>
      </c>
      <c r="N9" s="1">
        <f>+N7*70%</f>
        <v>33573.049999999996</v>
      </c>
      <c r="O9" s="1"/>
    </row>
    <row r="10" spans="1:16" ht="15" x14ac:dyDescent="0.25">
      <c r="E10" s="1"/>
    </row>
    <row r="11" spans="1:16" ht="15" x14ac:dyDescent="0.25">
      <c r="C11" t="s">
        <v>25</v>
      </c>
      <c r="E11" s="1">
        <f>+'[1]Portfolio Inputs'!$AK$54</f>
        <v>604021.98750000005</v>
      </c>
      <c r="G11" s="1">
        <f>+G31</f>
        <v>396315</v>
      </c>
      <c r="H11" s="1">
        <f>SUM(J11:N11)</f>
        <v>207706.98750000002</v>
      </c>
      <c r="J11" s="1">
        <f>+J31</f>
        <v>52896.75</v>
      </c>
      <c r="K11" s="1">
        <f t="shared" ref="K11:M11" si="3">+K31</f>
        <v>52896.75</v>
      </c>
      <c r="L11" s="1">
        <f t="shared" si="3"/>
        <v>59447.25</v>
      </c>
      <c r="M11" s="1">
        <f t="shared" si="3"/>
        <v>28077.787500000002</v>
      </c>
      <c r="N11" s="1">
        <f>+N7*30%</f>
        <v>14388.449999999999</v>
      </c>
      <c r="O11" s="1"/>
    </row>
    <row r="12" spans="1:16" ht="15" x14ac:dyDescent="0.25">
      <c r="E12" s="1"/>
    </row>
    <row r="16" spans="1:16" ht="15" x14ac:dyDescent="0.25">
      <c r="C16" t="s">
        <v>19</v>
      </c>
    </row>
    <row r="17" spans="3:14" ht="15" x14ac:dyDescent="0.25">
      <c r="D17" s="2" t="s">
        <v>8</v>
      </c>
      <c r="E17" s="1">
        <f>+'[1]Portfolio Inputs'!$AK$7</f>
        <v>40555.199999999997</v>
      </c>
      <c r="G17" s="1">
        <f>+'[1]Portfolio Inputs'!$Q$7</f>
        <v>25600</v>
      </c>
      <c r="H17" s="1">
        <f>SUM(J17:M17)</f>
        <v>14955.2</v>
      </c>
      <c r="J17" s="1">
        <f>+'[1]Portfolio Inputs'!$W$7</f>
        <v>8672</v>
      </c>
      <c r="K17" s="1">
        <f>+'[1]Portfolio Inputs'!$Y$7</f>
        <v>1280</v>
      </c>
      <c r="L17" s="1">
        <f>+'[1]Portfolio Inputs'!$AA$7</f>
        <v>3072</v>
      </c>
      <c r="M17" s="1">
        <f>+'[1]Portfolio Inputs'!$AC$7</f>
        <v>1931.2</v>
      </c>
      <c r="N17" s="1"/>
    </row>
    <row r="18" spans="3:14" ht="15" x14ac:dyDescent="0.25">
      <c r="D18" s="2" t="s">
        <v>9</v>
      </c>
      <c r="E18" s="1">
        <f>+'[1]Portfolio Inputs'!$AK$11</f>
        <v>13230</v>
      </c>
      <c r="G18" s="1">
        <f>+'[1]Portfolio Inputs'!$Q$11</f>
        <v>4000</v>
      </c>
      <c r="H18" s="1">
        <f t="shared" ref="H18:H23" si="4">SUM(J18:M18)</f>
        <v>9230</v>
      </c>
      <c r="J18" s="1">
        <f>+'[1]Portfolio Inputs'!$W$11</f>
        <v>8000</v>
      </c>
      <c r="K18" s="1">
        <f>+'[1]Portfolio Inputs'!$Y$11</f>
        <v>200</v>
      </c>
      <c r="L18" s="1">
        <f>+'[1]Portfolio Inputs'!$AA$11</f>
        <v>400</v>
      </c>
      <c r="M18" s="1">
        <f>+'[1]Portfolio Inputs'!$AC$11</f>
        <v>630</v>
      </c>
      <c r="N18" s="1"/>
    </row>
    <row r="19" spans="3:14" ht="15" x14ac:dyDescent="0.25">
      <c r="D19" s="2" t="s">
        <v>10</v>
      </c>
      <c r="E19" s="1">
        <f>+'[1]Portfolio Inputs'!$AK$15</f>
        <v>71608.95</v>
      </c>
      <c r="G19" s="1">
        <f>+'[1]Portfolio Inputs'!$Q$15</f>
        <v>53700</v>
      </c>
      <c r="H19" s="1">
        <f t="shared" si="4"/>
        <v>17908.95</v>
      </c>
      <c r="J19" s="1">
        <f>+'[1]Portfolio Inputs'!$W$15</f>
        <v>5370</v>
      </c>
      <c r="K19" s="1">
        <f>+'[1]Portfolio Inputs'!$Y$15</f>
        <v>2685</v>
      </c>
      <c r="L19" s="1">
        <f>+'[1]Portfolio Inputs'!$AA$15</f>
        <v>6444</v>
      </c>
      <c r="M19" s="1">
        <f>+'[1]Portfolio Inputs'!$AC$15</f>
        <v>3409.9500000000003</v>
      </c>
      <c r="N19" s="1"/>
    </row>
    <row r="20" spans="3:14" ht="15" x14ac:dyDescent="0.25">
      <c r="D20" s="2" t="s">
        <v>11</v>
      </c>
      <c r="E20" s="1">
        <f>+'[1]Portfolio Inputs'!$AK$27</f>
        <v>37078.125</v>
      </c>
      <c r="G20" s="1"/>
      <c r="H20" s="1">
        <f t="shared" si="4"/>
        <v>37078.125</v>
      </c>
      <c r="J20" s="1">
        <f>+'[1]Portfolio Inputs'!$W$27/2</f>
        <v>31250</v>
      </c>
      <c r="K20" s="1">
        <f>+'[1]Portfolio Inputs'!$Y$27/2</f>
        <v>2500</v>
      </c>
      <c r="L20" s="1">
        <f>+'[1]Portfolio Inputs'!$AA$27/2</f>
        <v>1562.5</v>
      </c>
      <c r="M20" s="1">
        <f>+'[1]Portfolio Inputs'!$AC$27/2</f>
        <v>1765.625</v>
      </c>
      <c r="N20" s="1"/>
    </row>
    <row r="21" spans="3:14" ht="15" x14ac:dyDescent="0.25">
      <c r="D21" s="2" t="s">
        <v>12</v>
      </c>
      <c r="E21" s="1">
        <f>+'[1]Portfolio Inputs'!$AK$37</f>
        <v>25263</v>
      </c>
      <c r="G21" s="1"/>
      <c r="H21" s="1">
        <f t="shared" si="4"/>
        <v>25263</v>
      </c>
      <c r="J21" s="1">
        <f>+'[1]Portfolio Inputs'!$W$37</f>
        <v>22000</v>
      </c>
      <c r="K21" s="1">
        <f>+'[1]Portfolio Inputs'!$Y$37</f>
        <v>960</v>
      </c>
      <c r="L21" s="1">
        <f>+'[1]Portfolio Inputs'!$AA$37</f>
        <v>1100</v>
      </c>
      <c r="M21" s="1">
        <f>+'[1]Portfolio Inputs'!$AC$37</f>
        <v>1203</v>
      </c>
      <c r="N21" s="1"/>
    </row>
    <row r="22" spans="3:14" ht="15" x14ac:dyDescent="0.25">
      <c r="D22" s="2" t="s">
        <v>13</v>
      </c>
      <c r="E22" s="1">
        <f>+'[1]Portfolio Inputs'!$AK$43</f>
        <v>66150</v>
      </c>
      <c r="G22" s="1"/>
      <c r="H22" s="1">
        <f t="shared" si="4"/>
        <v>66150</v>
      </c>
      <c r="J22" s="1">
        <f>+'[1]Portfolio Inputs'!$W$43</f>
        <v>60000</v>
      </c>
      <c r="K22" s="1">
        <f>+'[1]Portfolio Inputs'!$Y$43</f>
        <v>3000</v>
      </c>
      <c r="L22" s="1">
        <f>+'[1]Portfolio Inputs'!$AA$43</f>
        <v>0</v>
      </c>
      <c r="M22" s="1">
        <f>+'[1]Portfolio Inputs'!$AC$43</f>
        <v>3150</v>
      </c>
      <c r="N22" s="1"/>
    </row>
    <row r="23" spans="3:14" ht="15.75" thickBot="1" x14ac:dyDescent="0.3">
      <c r="D23" s="2" t="s">
        <v>14</v>
      </c>
      <c r="E23" s="3">
        <f>+'[1]Portfolio Inputs'!$AK$44</f>
        <v>11576.25</v>
      </c>
      <c r="G23" s="3"/>
      <c r="H23" s="3">
        <f t="shared" si="4"/>
        <v>11576.25</v>
      </c>
      <c r="J23" s="3">
        <f>+'[1]Portfolio Inputs'!$W$44</f>
        <v>10500</v>
      </c>
      <c r="K23" s="3">
        <f>+'[1]Portfolio Inputs'!$Y$44</f>
        <v>525</v>
      </c>
      <c r="L23" s="3">
        <f>+'[1]Portfolio Inputs'!$AA$44</f>
        <v>0</v>
      </c>
      <c r="M23" s="3">
        <f>+'[1]Portfolio Inputs'!$AC$44</f>
        <v>551.25</v>
      </c>
      <c r="N23" s="1"/>
    </row>
    <row r="24" spans="3:14" ht="15.75" thickTop="1" x14ac:dyDescent="0.25">
      <c r="D24" s="2" t="s">
        <v>18</v>
      </c>
      <c r="E24" s="1">
        <f>SUM(E17:E23)</f>
        <v>265461.52500000002</v>
      </c>
      <c r="G24" s="1">
        <f t="shared" ref="G24:H24" si="5">SUM(G17:G23)</f>
        <v>83300</v>
      </c>
      <c r="H24" s="1">
        <f t="shared" si="5"/>
        <v>182161.52499999999</v>
      </c>
      <c r="J24" s="1">
        <f t="shared" ref="J24" si="6">SUM(J17:J23)</f>
        <v>145792</v>
      </c>
      <c r="K24" s="1">
        <f t="shared" ref="K24" si="7">SUM(K17:K23)</f>
        <v>11150</v>
      </c>
      <c r="L24" s="1">
        <f t="shared" ref="L24" si="8">SUM(L17:L23)</f>
        <v>12578.5</v>
      </c>
      <c r="M24" s="1">
        <f t="shared" ref="M24" si="9">SUM(M17:M23)</f>
        <v>12641.025</v>
      </c>
    </row>
    <row r="25" spans="3:14" ht="15.75" thickBot="1" x14ac:dyDescent="0.3">
      <c r="D25" s="2" t="s">
        <v>17</v>
      </c>
      <c r="E25" s="3">
        <f>+N7*70%</f>
        <v>33573.049999999996</v>
      </c>
    </row>
    <row r="26" spans="3:14" ht="15.75" thickTop="1" x14ac:dyDescent="0.25">
      <c r="E26" s="4">
        <f>+E24+E25</f>
        <v>299034.57500000001</v>
      </c>
    </row>
    <row r="28" spans="3:14" ht="15" x14ac:dyDescent="0.25">
      <c r="C28" t="s">
        <v>20</v>
      </c>
    </row>
    <row r="29" spans="3:14" ht="15" x14ac:dyDescent="0.25">
      <c r="D29" s="2" t="s">
        <v>16</v>
      </c>
      <c r="E29" s="4">
        <f>+'[1]Portfolio Inputs'!$AK$56</f>
        <v>270951.71250000002</v>
      </c>
      <c r="F29" s="14"/>
      <c r="G29" s="4">
        <f>+'[1]Portfolio Inputs'!$Q$56</f>
        <v>177965</v>
      </c>
      <c r="H29" s="4">
        <f>SUM(J29:M29)</f>
        <v>92986.712499999994</v>
      </c>
      <c r="I29" s="14"/>
      <c r="J29" s="4">
        <f>+'[1]Portfolio Inputs'!$W$56</f>
        <v>26694.75</v>
      </c>
      <c r="K29" s="4">
        <f>+'[1]Portfolio Inputs'!$Y$56</f>
        <v>26694.75</v>
      </c>
      <c r="L29" s="4">
        <f>+'[1]Portfolio Inputs'!$AA$56</f>
        <v>26694.75</v>
      </c>
      <c r="M29" s="4">
        <f>+'[1]Portfolio Inputs'!$AC$56</f>
        <v>12902.462500000001</v>
      </c>
    </row>
    <row r="30" spans="3:14" ht="15.75" thickBot="1" x14ac:dyDescent="0.3">
      <c r="D30" s="2" t="s">
        <v>15</v>
      </c>
      <c r="E30" s="3">
        <f>+'[1]Portfolio Inputs'!$AK$55</f>
        <v>318681.82500000001</v>
      </c>
      <c r="G30" s="3">
        <f>+'[1]Portfolio Inputs'!$Q$55</f>
        <v>218350</v>
      </c>
      <c r="H30" s="3">
        <f>SUM(J30:M30)</f>
        <v>100331.825</v>
      </c>
      <c r="J30" s="3">
        <f>+'[1]Portfolio Inputs'!$W$55</f>
        <v>26202</v>
      </c>
      <c r="K30" s="3">
        <f>+'[1]Portfolio Inputs'!$Y$55</f>
        <v>26202</v>
      </c>
      <c r="L30" s="3">
        <f>+'[1]Portfolio Inputs'!$AA$55</f>
        <v>32752.5</v>
      </c>
      <c r="M30" s="3">
        <f>+'[1]Portfolio Inputs'!$AC$55</f>
        <v>15175.325000000001</v>
      </c>
      <c r="N30" s="1"/>
    </row>
    <row r="31" spans="3:14" ht="15.75" thickTop="1" x14ac:dyDescent="0.25">
      <c r="D31" s="2" t="s">
        <v>21</v>
      </c>
      <c r="E31" s="1">
        <f>SUM(E29:E30)</f>
        <v>589633.53750000009</v>
      </c>
      <c r="G31" s="1">
        <f t="shared" ref="G31:H31" si="10">SUM(G29:G30)</f>
        <v>396315</v>
      </c>
      <c r="H31" s="1">
        <f t="shared" si="10"/>
        <v>193318.53749999998</v>
      </c>
      <c r="J31" s="1">
        <f t="shared" ref="J31" si="11">SUM(J29:J30)</f>
        <v>52896.75</v>
      </c>
      <c r="K31" s="1">
        <f t="shared" ref="K31" si="12">SUM(K29:K30)</f>
        <v>52896.75</v>
      </c>
      <c r="L31" s="1">
        <f t="shared" ref="L31" si="13">SUM(L29:L30)</f>
        <v>59447.25</v>
      </c>
      <c r="M31" s="1">
        <f t="shared" ref="M31" si="14">SUM(M29:M30)</f>
        <v>28077.787500000002</v>
      </c>
    </row>
    <row r="32" spans="3:14" ht="15.75" thickBot="1" x14ac:dyDescent="0.3">
      <c r="D32" s="2" t="s">
        <v>17</v>
      </c>
      <c r="E32" s="3">
        <f>+N7*30%</f>
        <v>14388.449999999999</v>
      </c>
    </row>
    <row r="33" spans="5:5" ht="15" thickTop="1" x14ac:dyDescent="0.3">
      <c r="E33" s="1">
        <f>+E31+E32</f>
        <v>604021.98750000005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F18" sqref="F18"/>
    </sheetView>
  </sheetViews>
  <sheetFormatPr defaultRowHeight="14.4" x14ac:dyDescent="0.3"/>
  <cols>
    <col min="1" max="1" width="30.33203125" bestFit="1" customWidth="1"/>
    <col min="2" max="4" width="14.6640625" customWidth="1"/>
    <col min="6" max="8" width="14.6640625" customWidth="1"/>
  </cols>
  <sheetData>
    <row r="3" spans="1:8" ht="15.75" x14ac:dyDescent="0.25">
      <c r="A3" s="16" t="s">
        <v>41</v>
      </c>
    </row>
    <row r="4" spans="1:8" ht="15.75" thickBot="1" x14ac:dyDescent="0.3">
      <c r="B4" s="15" t="s">
        <v>38</v>
      </c>
      <c r="F4" s="15" t="s">
        <v>39</v>
      </c>
    </row>
    <row r="5" spans="1:8" ht="15.75" thickBot="1" x14ac:dyDescent="0.3">
      <c r="B5" s="8" t="s">
        <v>31</v>
      </c>
      <c r="C5" s="8" t="s">
        <v>32</v>
      </c>
      <c r="D5" s="8" t="s">
        <v>33</v>
      </c>
      <c r="F5" s="8" t="s">
        <v>43</v>
      </c>
      <c r="G5" s="8"/>
      <c r="H5" s="8" t="s">
        <v>33</v>
      </c>
    </row>
    <row r="6" spans="1:8" ht="15" x14ac:dyDescent="0.25">
      <c r="A6" t="s">
        <v>30</v>
      </c>
    </row>
    <row r="7" spans="1:8" ht="15" x14ac:dyDescent="0.25">
      <c r="A7" t="s">
        <v>27</v>
      </c>
      <c r="B7" s="1">
        <v>246642</v>
      </c>
      <c r="C7" s="1">
        <v>157187</v>
      </c>
      <c r="D7" s="13">
        <f>+C7/B7</f>
        <v>0.63730832542713733</v>
      </c>
      <c r="F7" s="1">
        <f>+'Approved Program-Budget Summary'!G9+'Approved Program-Budget Summary'!J9+'Approved Program-Budget Summary'!M9</f>
        <v>241733.02499999999</v>
      </c>
      <c r="G7" s="1">
        <v>157187</v>
      </c>
      <c r="H7" s="13">
        <f>+G7/F7</f>
        <v>0.65025041572205533</v>
      </c>
    </row>
    <row r="8" spans="1:8" ht="15" x14ac:dyDescent="0.25">
      <c r="A8" t="s">
        <v>42</v>
      </c>
      <c r="B8" s="1">
        <v>518661</v>
      </c>
      <c r="C8" s="1">
        <v>494858</v>
      </c>
      <c r="D8" s="13">
        <f t="shared" ref="D8:D11" si="0">+C8/B8</f>
        <v>0.95410682507456701</v>
      </c>
      <c r="F8" s="1">
        <f>+'Approved Program-Budget Summary'!G11+'Approved Program-Budget Summary'!J11+'Approved Program-Budget Summary'!M11</f>
        <v>477289.53749999998</v>
      </c>
      <c r="G8" s="1">
        <v>494858</v>
      </c>
      <c r="H8" s="13">
        <f t="shared" ref="H8:H10" si="1">+G8/F8</f>
        <v>1.036808815445698</v>
      </c>
    </row>
    <row r="9" spans="1:8" ht="15" x14ac:dyDescent="0.25">
      <c r="A9" t="s">
        <v>7</v>
      </c>
      <c r="B9" s="1">
        <v>39646</v>
      </c>
      <c r="C9" s="1">
        <v>107682</v>
      </c>
      <c r="D9" s="13">
        <f t="shared" si="0"/>
        <v>2.7160873732532917</v>
      </c>
      <c r="F9" s="1">
        <f>+'Approved Program-Budget Summary'!N7+'Approved Program-Budget Summary'!L7</f>
        <v>119987.25</v>
      </c>
      <c r="G9" s="1">
        <v>107682</v>
      </c>
      <c r="H9" s="13">
        <f t="shared" si="1"/>
        <v>0.89744535356881672</v>
      </c>
    </row>
    <row r="10" spans="1:8" ht="15" x14ac:dyDescent="0.25">
      <c r="A10" t="s">
        <v>28</v>
      </c>
      <c r="B10" s="1"/>
      <c r="C10" s="1">
        <v>66144</v>
      </c>
      <c r="F10" s="1">
        <f>+'Approved Program-Budget Summary'!K7</f>
        <v>64046.75</v>
      </c>
      <c r="G10" s="1">
        <v>66144</v>
      </c>
      <c r="H10" s="13">
        <f t="shared" si="1"/>
        <v>1.0327456116040237</v>
      </c>
    </row>
    <row r="11" spans="1:8" ht="15" x14ac:dyDescent="0.25">
      <c r="A11" t="s">
        <v>29</v>
      </c>
      <c r="B11" s="1">
        <f>SUM(B7:B10)</f>
        <v>804949</v>
      </c>
      <c r="C11" s="1">
        <f>SUM(C7:C10)</f>
        <v>825871</v>
      </c>
      <c r="D11" s="13">
        <f t="shared" si="0"/>
        <v>1.0259917087914887</v>
      </c>
      <c r="F11" s="1">
        <f>SUM(F7:F10)</f>
        <v>903056.5625</v>
      </c>
      <c r="G11" s="1">
        <f>SUM(G7:G10)</f>
        <v>825871</v>
      </c>
      <c r="H11" s="13">
        <f t="shared" ref="H11" si="2">+G11/F11</f>
        <v>0.91452854039804399</v>
      </c>
    </row>
    <row r="15" spans="1:8" ht="15.75" x14ac:dyDescent="0.25">
      <c r="A15" s="16" t="s">
        <v>40</v>
      </c>
    </row>
    <row r="16" spans="1:8" ht="15.75" thickBot="1" x14ac:dyDescent="0.3"/>
    <row r="17" spans="1:8" ht="30.75" thickBot="1" x14ac:dyDescent="0.3">
      <c r="B17" s="8" t="s">
        <v>36</v>
      </c>
      <c r="C17" s="12" t="s">
        <v>37</v>
      </c>
      <c r="D17" s="8" t="s">
        <v>33</v>
      </c>
      <c r="F17" s="8" t="s">
        <v>44</v>
      </c>
      <c r="G17" s="12" t="s">
        <v>37</v>
      </c>
      <c r="H17" s="8" t="s">
        <v>33</v>
      </c>
    </row>
    <row r="18" spans="1:8" ht="15" x14ac:dyDescent="0.25">
      <c r="A18" t="s">
        <v>34</v>
      </c>
    </row>
    <row r="19" spans="1:8" ht="15" x14ac:dyDescent="0.25">
      <c r="A19" s="2" t="s">
        <v>8</v>
      </c>
      <c r="B19" s="1">
        <f>+'Approved Program-Budget Summary'!E17</f>
        <v>40555.199999999997</v>
      </c>
      <c r="C19" s="1">
        <v>29786</v>
      </c>
      <c r="D19" s="13">
        <f t="shared" ref="D19:D31" si="3">+C19/B19</f>
        <v>0.73445575413263897</v>
      </c>
      <c r="F19" s="1">
        <f>+'Approved Program-Budget Summary'!G17+'Approved Program-Budget Summary'!J17+'Approved Program-Budget Summary'!M17</f>
        <v>36203.199999999997</v>
      </c>
      <c r="G19" s="1">
        <f>+C19</f>
        <v>29786</v>
      </c>
      <c r="H19" s="13">
        <f>+G19/F19</f>
        <v>0.82274495072258813</v>
      </c>
    </row>
    <row r="20" spans="1:8" ht="15" x14ac:dyDescent="0.25">
      <c r="A20" s="2" t="s">
        <v>9</v>
      </c>
      <c r="B20" s="1">
        <f>+'Approved Program-Budget Summary'!E18</f>
        <v>13230</v>
      </c>
      <c r="C20" s="1">
        <v>12748</v>
      </c>
      <c r="D20" s="13">
        <f t="shared" si="3"/>
        <v>0.96356764928193495</v>
      </c>
      <c r="F20" s="1">
        <f>+'Approved Program-Budget Summary'!G18+'Approved Program-Budget Summary'!J18+'Approved Program-Budget Summary'!M18</f>
        <v>12630</v>
      </c>
      <c r="G20" s="1">
        <f t="shared" ref="G20:G25" si="4">+C20</f>
        <v>12748</v>
      </c>
      <c r="H20" s="13">
        <f t="shared" ref="H20:H25" si="5">+G20/F20</f>
        <v>1.0093428345209818</v>
      </c>
    </row>
    <row r="21" spans="1:8" ht="15" x14ac:dyDescent="0.25">
      <c r="A21" s="2" t="s">
        <v>10</v>
      </c>
      <c r="B21" s="1">
        <f>+'Approved Program-Budget Summary'!E19</f>
        <v>71608.95</v>
      </c>
      <c r="C21" s="1">
        <v>21292</v>
      </c>
      <c r="D21" s="13">
        <f t="shared" si="3"/>
        <v>0.29733713453416089</v>
      </c>
      <c r="F21" s="1">
        <f>+'Approved Program-Budget Summary'!G19+'Approved Program-Budget Summary'!J19+'Approved Program-Budget Summary'!M19</f>
        <v>62479.95</v>
      </c>
      <c r="G21" s="1">
        <f t="shared" si="4"/>
        <v>21292</v>
      </c>
      <c r="H21" s="13">
        <f t="shared" si="5"/>
        <v>0.34078132264830557</v>
      </c>
    </row>
    <row r="22" spans="1:8" ht="15" x14ac:dyDescent="0.25">
      <c r="A22" s="2" t="s">
        <v>11</v>
      </c>
      <c r="B22" s="1">
        <f>+'Approved Program-Budget Summary'!E20</f>
        <v>37078.125</v>
      </c>
      <c r="C22" s="1">
        <v>9044</v>
      </c>
      <c r="D22" s="13">
        <f t="shared" si="3"/>
        <v>0.24391740412979351</v>
      </c>
      <c r="F22" s="1">
        <f>+'Approved Program-Budget Summary'!G20+'Approved Program-Budget Summary'!J20+'Approved Program-Budget Summary'!M20</f>
        <v>33015.625</v>
      </c>
      <c r="G22" s="1">
        <f t="shared" si="4"/>
        <v>9044</v>
      </c>
      <c r="H22" s="13">
        <f t="shared" si="5"/>
        <v>0.27393090392806435</v>
      </c>
    </row>
    <row r="23" spans="1:8" ht="15" x14ac:dyDescent="0.25">
      <c r="A23" s="2" t="s">
        <v>12</v>
      </c>
      <c r="B23" s="1">
        <f>+'Approved Program-Budget Summary'!E21</f>
        <v>25263</v>
      </c>
      <c r="C23" s="1">
        <v>6425</v>
      </c>
      <c r="D23" s="13">
        <f t="shared" si="3"/>
        <v>0.25432450619483038</v>
      </c>
      <c r="F23" s="1">
        <f>+'Approved Program-Budget Summary'!G21+'Approved Program-Budget Summary'!J21+'Approved Program-Budget Summary'!M21</f>
        <v>23203</v>
      </c>
      <c r="G23" s="1">
        <f t="shared" si="4"/>
        <v>6425</v>
      </c>
      <c r="H23" s="13">
        <f t="shared" si="5"/>
        <v>0.27690384864026202</v>
      </c>
    </row>
    <row r="24" spans="1:8" ht="15" x14ac:dyDescent="0.25">
      <c r="A24" s="2" t="s">
        <v>13</v>
      </c>
      <c r="B24" s="1">
        <f>+'Approved Program-Budget Summary'!E22</f>
        <v>66150</v>
      </c>
      <c r="C24" s="1">
        <v>69731</v>
      </c>
      <c r="D24" s="13">
        <f t="shared" si="3"/>
        <v>1.0541345427059712</v>
      </c>
      <c r="F24" s="1">
        <f>+'Approved Program-Budget Summary'!G22+'Approved Program-Budget Summary'!J22+'Approved Program-Budget Summary'!M22</f>
        <v>63150</v>
      </c>
      <c r="G24" s="1">
        <f t="shared" si="4"/>
        <v>69731</v>
      </c>
      <c r="H24" s="13">
        <f t="shared" si="5"/>
        <v>1.1042121931908155</v>
      </c>
    </row>
    <row r="25" spans="1:8" ht="15" x14ac:dyDescent="0.25">
      <c r="A25" s="2" t="s">
        <v>14</v>
      </c>
      <c r="B25" s="1">
        <f>+'Approved Program-Budget Summary'!E23</f>
        <v>11576.25</v>
      </c>
      <c r="C25" s="1">
        <v>8161</v>
      </c>
      <c r="D25" s="13">
        <f t="shared" si="3"/>
        <v>0.70497786416153763</v>
      </c>
      <c r="F25" s="1">
        <f>+'Approved Program-Budget Summary'!G23+'Approved Program-Budget Summary'!J23+'Approved Program-Budget Summary'!M23</f>
        <v>11051.25</v>
      </c>
      <c r="G25" s="1">
        <f t="shared" si="4"/>
        <v>8161</v>
      </c>
      <c r="H25" s="13">
        <f t="shared" si="5"/>
        <v>0.73846849903857026</v>
      </c>
    </row>
    <row r="26" spans="1:8" ht="15" x14ac:dyDescent="0.25">
      <c r="A26" t="s">
        <v>35</v>
      </c>
      <c r="B26" s="1"/>
      <c r="C26" s="1"/>
    </row>
    <row r="27" spans="1:8" ht="15" x14ac:dyDescent="0.25">
      <c r="A27" s="2" t="s">
        <v>16</v>
      </c>
      <c r="B27" s="1">
        <f>+'Approved Program-Budget Summary'!E29</f>
        <v>270951.71250000002</v>
      </c>
      <c r="C27" s="1">
        <v>295247</v>
      </c>
      <c r="D27" s="13">
        <f t="shared" si="3"/>
        <v>1.089666484392491</v>
      </c>
      <c r="F27" s="1">
        <f>+'Approved Program-Budget Summary'!G29+'Approved Program-Budget Summary'!J29+'Approved Program-Budget Summary'!M29</f>
        <v>217562.21249999999</v>
      </c>
      <c r="G27" s="1">
        <f t="shared" ref="G27" si="6">+C27</f>
        <v>295247</v>
      </c>
      <c r="H27" s="13">
        <f t="shared" ref="H27" si="7">+G27/F27</f>
        <v>1.3570693026483172</v>
      </c>
    </row>
    <row r="28" spans="1:8" ht="15" x14ac:dyDescent="0.25">
      <c r="A28" s="2" t="s">
        <v>15</v>
      </c>
      <c r="B28" s="1">
        <f>+'Approved Program-Budget Summary'!E30</f>
        <v>318681.82500000001</v>
      </c>
      <c r="C28" s="1">
        <v>199611</v>
      </c>
      <c r="D28" s="13">
        <f t="shared" si="3"/>
        <v>0.6263645565604502</v>
      </c>
      <c r="F28" s="1">
        <f>+'Approved Program-Budget Summary'!G30+'Approved Program-Budget Summary'!J30+'Approved Program-Budget Summary'!M30</f>
        <v>259727.32500000001</v>
      </c>
      <c r="G28" s="1">
        <f t="shared" ref="G28" si="8">+C28</f>
        <v>199611</v>
      </c>
      <c r="H28" s="13">
        <f t="shared" ref="H28" si="9">+G28/F28</f>
        <v>0.76854062236231779</v>
      </c>
    </row>
    <row r="29" spans="1:8" ht="15" x14ac:dyDescent="0.25">
      <c r="A29" t="s">
        <v>7</v>
      </c>
      <c r="B29" s="1">
        <f>+'Approved Program-Budget Summary'!N7</f>
        <v>47961.5</v>
      </c>
      <c r="C29" s="1">
        <v>107682</v>
      </c>
      <c r="D29" s="13">
        <f t="shared" si="3"/>
        <v>2.2451758181041042</v>
      </c>
      <c r="F29" s="1">
        <f>+'Approved Program-Budget Summary'!N7+'Approved Program-Budget Summary'!L7</f>
        <v>119987.25</v>
      </c>
      <c r="G29" s="1">
        <f t="shared" ref="G29:G31" si="10">+C29</f>
        <v>107682</v>
      </c>
      <c r="H29" s="13">
        <f t="shared" ref="H29:H31" si="11">+G29/F29</f>
        <v>0.89744535356881672</v>
      </c>
    </row>
    <row r="30" spans="1:8" ht="15" x14ac:dyDescent="0.25">
      <c r="A30" t="s">
        <v>28</v>
      </c>
      <c r="B30" s="1">
        <v>0</v>
      </c>
      <c r="C30" s="1">
        <v>66144</v>
      </c>
      <c r="D30" s="13"/>
      <c r="F30" s="1">
        <f>+'Approved Program-Budget Summary'!K7</f>
        <v>64046.75</v>
      </c>
      <c r="G30" s="1">
        <f t="shared" si="10"/>
        <v>66144</v>
      </c>
      <c r="H30" s="13">
        <f t="shared" si="11"/>
        <v>1.0327456116040237</v>
      </c>
    </row>
    <row r="31" spans="1:8" ht="15" x14ac:dyDescent="0.25">
      <c r="A31" s="2" t="s">
        <v>29</v>
      </c>
      <c r="B31" s="1">
        <f>SUM(B19:B30)</f>
        <v>903056.5625</v>
      </c>
      <c r="C31" s="1">
        <f>SUM(C19:C30)</f>
        <v>825871</v>
      </c>
      <c r="D31" s="13">
        <f t="shared" si="3"/>
        <v>0.91452854039804399</v>
      </c>
      <c r="F31" s="1">
        <f>SUM(F19:F30)</f>
        <v>903056.5625</v>
      </c>
      <c r="G31" s="1">
        <f t="shared" si="10"/>
        <v>825871</v>
      </c>
      <c r="H31" s="13">
        <f t="shared" si="11"/>
        <v>0.91452854039804399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1"/>
  <sheetViews>
    <sheetView showGridLines="0" tabSelected="1" workbookViewId="0">
      <selection activeCell="O30" sqref="O30"/>
    </sheetView>
  </sheetViews>
  <sheetFormatPr defaultRowHeight="14.4" x14ac:dyDescent="0.3"/>
  <cols>
    <col min="2" max="2" width="30.33203125" bestFit="1" customWidth="1"/>
    <col min="3" max="5" width="14.6640625" hidden="1" customWidth="1"/>
    <col min="6" max="6" width="0" hidden="1" customWidth="1"/>
    <col min="7" max="7" width="14.6640625" customWidth="1"/>
    <col min="8" max="9" width="14.6640625" hidden="1" customWidth="1"/>
  </cols>
  <sheetData>
    <row r="3" spans="2:9" ht="15.75" x14ac:dyDescent="0.25">
      <c r="B3" s="16" t="s">
        <v>45</v>
      </c>
    </row>
    <row r="4" spans="2:9" ht="15.75" thickBot="1" x14ac:dyDescent="0.3">
      <c r="C4" s="15" t="s">
        <v>38</v>
      </c>
      <c r="G4" s="15" t="s">
        <v>39</v>
      </c>
    </row>
    <row r="5" spans="2:9" ht="15.75" thickBot="1" x14ac:dyDescent="0.3">
      <c r="C5" s="8" t="s">
        <v>31</v>
      </c>
      <c r="D5" s="8" t="s">
        <v>32</v>
      </c>
      <c r="E5" s="8" t="s">
        <v>33</v>
      </c>
      <c r="G5" s="8" t="s">
        <v>44</v>
      </c>
      <c r="H5" s="8"/>
      <c r="I5" s="8" t="s">
        <v>33</v>
      </c>
    </row>
    <row r="6" spans="2:9" ht="15" x14ac:dyDescent="0.25">
      <c r="B6" t="s">
        <v>30</v>
      </c>
    </row>
    <row r="7" spans="2:9" ht="15" x14ac:dyDescent="0.25">
      <c r="B7" t="s">
        <v>27</v>
      </c>
      <c r="C7" s="1">
        <v>246642</v>
      </c>
      <c r="D7" s="1">
        <v>157187</v>
      </c>
      <c r="E7" s="13">
        <f>+D7/C7</f>
        <v>0.63730832542713733</v>
      </c>
      <c r="G7" s="1">
        <f>+'Approved Program-Budget Summary'!G9+'Approved Program-Budget Summary'!J9+'Approved Program-Budget Summary'!M9</f>
        <v>241733.02499999999</v>
      </c>
      <c r="H7" s="1">
        <v>157187</v>
      </c>
      <c r="I7" s="13">
        <f>+H7/G7</f>
        <v>0.65025041572205533</v>
      </c>
    </row>
    <row r="8" spans="2:9" ht="15" x14ac:dyDescent="0.25">
      <c r="B8" t="s">
        <v>42</v>
      </c>
      <c r="C8" s="1">
        <v>518661</v>
      </c>
      <c r="D8" s="1">
        <v>494858</v>
      </c>
      <c r="E8" s="13">
        <f t="shared" ref="E8:E11" si="0">+D8/C8</f>
        <v>0.95410682507456701</v>
      </c>
      <c r="G8" s="1">
        <f>+'Approved Program-Budget Summary'!G11+'Approved Program-Budget Summary'!J11+'Approved Program-Budget Summary'!M11</f>
        <v>477289.53749999998</v>
      </c>
      <c r="H8" s="1">
        <v>494858</v>
      </c>
      <c r="I8" s="13">
        <f t="shared" ref="I8:I11" si="1">+H8/G8</f>
        <v>1.036808815445698</v>
      </c>
    </row>
    <row r="9" spans="2:9" ht="15" x14ac:dyDescent="0.25">
      <c r="B9" t="s">
        <v>7</v>
      </c>
      <c r="C9" s="1">
        <v>39646</v>
      </c>
      <c r="D9" s="1">
        <v>107682</v>
      </c>
      <c r="E9" s="13">
        <f t="shared" si="0"/>
        <v>2.7160873732532917</v>
      </c>
      <c r="G9" s="1">
        <f>+'Approved Program-Budget Summary'!N7+'Approved Program-Budget Summary'!L7</f>
        <v>119987.25</v>
      </c>
      <c r="H9" s="1">
        <v>107682</v>
      </c>
      <c r="I9" s="13">
        <f t="shared" si="1"/>
        <v>0.89744535356881672</v>
      </c>
    </row>
    <row r="10" spans="2:9" ht="15" x14ac:dyDescent="0.25">
      <c r="B10" t="s">
        <v>28</v>
      </c>
      <c r="C10" s="1"/>
      <c r="D10" s="1">
        <v>66144</v>
      </c>
      <c r="G10" s="1">
        <f>+'Approved Program-Budget Summary'!K7</f>
        <v>64046.75</v>
      </c>
      <c r="H10" s="1">
        <v>66144</v>
      </c>
      <c r="I10" s="13">
        <f t="shared" si="1"/>
        <v>1.0327456116040237</v>
      </c>
    </row>
    <row r="11" spans="2:9" ht="15" x14ac:dyDescent="0.25">
      <c r="B11" t="s">
        <v>29</v>
      </c>
      <c r="C11" s="1">
        <f>SUM(C7:C10)</f>
        <v>804949</v>
      </c>
      <c r="D11" s="1">
        <f>SUM(D7:D10)</f>
        <v>825871</v>
      </c>
      <c r="E11" s="13">
        <f t="shared" si="0"/>
        <v>1.0259917087914887</v>
      </c>
      <c r="G11" s="1">
        <f>SUM(G7:G10)</f>
        <v>903056.5625</v>
      </c>
      <c r="H11" s="1">
        <f>SUM(H7:H10)</f>
        <v>825871</v>
      </c>
      <c r="I11" s="13">
        <f t="shared" si="1"/>
        <v>0.91452854039804399</v>
      </c>
    </row>
    <row r="15" spans="2:9" ht="15.75" x14ac:dyDescent="0.25">
      <c r="B15" s="16" t="s">
        <v>46</v>
      </c>
    </row>
    <row r="16" spans="2:9" ht="15.75" thickBot="1" x14ac:dyDescent="0.3">
      <c r="G16" t="s">
        <v>39</v>
      </c>
    </row>
    <row r="17" spans="2:9" ht="15.75" customHeight="1" thickBot="1" x14ac:dyDescent="0.3">
      <c r="C17" s="8" t="s">
        <v>36</v>
      </c>
      <c r="D17" s="12" t="s">
        <v>37</v>
      </c>
      <c r="E17" s="8" t="s">
        <v>33</v>
      </c>
      <c r="G17" s="8" t="s">
        <v>44</v>
      </c>
      <c r="H17" s="12"/>
      <c r="I17" s="8" t="s">
        <v>33</v>
      </c>
    </row>
    <row r="18" spans="2:9" ht="15" x14ac:dyDescent="0.25">
      <c r="B18" t="s">
        <v>34</v>
      </c>
    </row>
    <row r="19" spans="2:9" ht="15" x14ac:dyDescent="0.25">
      <c r="B19" s="2" t="s">
        <v>8</v>
      </c>
      <c r="C19" s="1">
        <f>+'Approved Program-Budget Summary'!E17</f>
        <v>40555.199999999997</v>
      </c>
      <c r="D19" s="1">
        <v>29786</v>
      </c>
      <c r="E19" s="13">
        <f t="shared" ref="E19:E31" si="2">+D19/C19</f>
        <v>0.73445575413263897</v>
      </c>
      <c r="G19" s="1">
        <f>+'Approved Program-Budget Summary'!G17+'Approved Program-Budget Summary'!J17+'Approved Program-Budget Summary'!M17</f>
        <v>36203.199999999997</v>
      </c>
      <c r="H19" s="1">
        <f t="shared" ref="H19:H25" si="3">+D19</f>
        <v>29786</v>
      </c>
      <c r="I19" s="13">
        <f>+H19/G19</f>
        <v>0.82274495072258813</v>
      </c>
    </row>
    <row r="20" spans="2:9" ht="15" x14ac:dyDescent="0.25">
      <c r="B20" s="2" t="s">
        <v>9</v>
      </c>
      <c r="C20" s="1">
        <f>+'Approved Program-Budget Summary'!E18</f>
        <v>13230</v>
      </c>
      <c r="D20" s="1">
        <v>12748</v>
      </c>
      <c r="E20" s="13">
        <f t="shared" si="2"/>
        <v>0.96356764928193495</v>
      </c>
      <c r="G20" s="1">
        <f>+'Approved Program-Budget Summary'!G18+'Approved Program-Budget Summary'!J18+'Approved Program-Budget Summary'!M18</f>
        <v>12630</v>
      </c>
      <c r="H20" s="1">
        <f t="shared" si="3"/>
        <v>12748</v>
      </c>
      <c r="I20" s="13">
        <f t="shared" ref="I20:I25" si="4">+H20/G20</f>
        <v>1.0093428345209818</v>
      </c>
    </row>
    <row r="21" spans="2:9" ht="15" x14ac:dyDescent="0.25">
      <c r="B21" s="2" t="s">
        <v>10</v>
      </c>
      <c r="C21" s="1">
        <f>+'Approved Program-Budget Summary'!E19</f>
        <v>71608.95</v>
      </c>
      <c r="D21" s="1">
        <v>21292</v>
      </c>
      <c r="E21" s="13">
        <f t="shared" si="2"/>
        <v>0.29733713453416089</v>
      </c>
      <c r="G21" s="1">
        <f>+'Approved Program-Budget Summary'!G19+'Approved Program-Budget Summary'!J19+'Approved Program-Budget Summary'!M19</f>
        <v>62479.95</v>
      </c>
      <c r="H21" s="1">
        <f t="shared" si="3"/>
        <v>21292</v>
      </c>
      <c r="I21" s="13">
        <f t="shared" si="4"/>
        <v>0.34078132264830557</v>
      </c>
    </row>
    <row r="22" spans="2:9" ht="15" x14ac:dyDescent="0.25">
      <c r="B22" s="2" t="s">
        <v>11</v>
      </c>
      <c r="C22" s="1">
        <f>+'Approved Program-Budget Summary'!E20</f>
        <v>37078.125</v>
      </c>
      <c r="D22" s="1">
        <v>9044</v>
      </c>
      <c r="E22" s="13">
        <f t="shared" si="2"/>
        <v>0.24391740412979351</v>
      </c>
      <c r="G22" s="1">
        <f>+'Approved Program-Budget Summary'!G20+'Approved Program-Budget Summary'!J20+'Approved Program-Budget Summary'!M20</f>
        <v>33015.625</v>
      </c>
      <c r="H22" s="1">
        <f t="shared" si="3"/>
        <v>9044</v>
      </c>
      <c r="I22" s="13">
        <f t="shared" si="4"/>
        <v>0.27393090392806435</v>
      </c>
    </row>
    <row r="23" spans="2:9" ht="15" x14ac:dyDescent="0.25">
      <c r="B23" s="2" t="s">
        <v>12</v>
      </c>
      <c r="C23" s="1">
        <f>+'Approved Program-Budget Summary'!E21</f>
        <v>25263</v>
      </c>
      <c r="D23" s="1">
        <v>6425</v>
      </c>
      <c r="E23" s="13">
        <f t="shared" si="2"/>
        <v>0.25432450619483038</v>
      </c>
      <c r="G23" s="1">
        <f>+'Approved Program-Budget Summary'!G21+'Approved Program-Budget Summary'!J21+'Approved Program-Budget Summary'!M21</f>
        <v>23203</v>
      </c>
      <c r="H23" s="1">
        <f t="shared" si="3"/>
        <v>6425</v>
      </c>
      <c r="I23" s="13">
        <f t="shared" si="4"/>
        <v>0.27690384864026202</v>
      </c>
    </row>
    <row r="24" spans="2:9" ht="15" x14ac:dyDescent="0.25">
      <c r="B24" s="2" t="s">
        <v>13</v>
      </c>
      <c r="C24" s="1">
        <f>+'Approved Program-Budget Summary'!E22</f>
        <v>66150</v>
      </c>
      <c r="D24" s="1">
        <v>69731</v>
      </c>
      <c r="E24" s="13">
        <f t="shared" si="2"/>
        <v>1.0541345427059712</v>
      </c>
      <c r="G24" s="1">
        <f>+'Approved Program-Budget Summary'!G22+'Approved Program-Budget Summary'!J22+'Approved Program-Budget Summary'!M22</f>
        <v>63150</v>
      </c>
      <c r="H24" s="1">
        <f t="shared" si="3"/>
        <v>69731</v>
      </c>
      <c r="I24" s="13">
        <f t="shared" si="4"/>
        <v>1.1042121931908155</v>
      </c>
    </row>
    <row r="25" spans="2:9" ht="15" x14ac:dyDescent="0.25">
      <c r="B25" s="2" t="s">
        <v>14</v>
      </c>
      <c r="C25" s="1">
        <f>+'Approved Program-Budget Summary'!E23</f>
        <v>11576.25</v>
      </c>
      <c r="D25" s="1">
        <v>8161</v>
      </c>
      <c r="E25" s="13">
        <f t="shared" si="2"/>
        <v>0.70497786416153763</v>
      </c>
      <c r="G25" s="1">
        <f>+'Approved Program-Budget Summary'!G23+'Approved Program-Budget Summary'!J23+'Approved Program-Budget Summary'!M23</f>
        <v>11051.25</v>
      </c>
      <c r="H25" s="1">
        <f t="shared" si="3"/>
        <v>8161</v>
      </c>
      <c r="I25" s="13">
        <f t="shared" si="4"/>
        <v>0.73846849903857026</v>
      </c>
    </row>
    <row r="26" spans="2:9" ht="15" x14ac:dyDescent="0.25">
      <c r="B26" t="s">
        <v>35</v>
      </c>
      <c r="C26" s="1"/>
      <c r="D26" s="1"/>
    </row>
    <row r="27" spans="2:9" ht="15" x14ac:dyDescent="0.25">
      <c r="B27" s="2" t="s">
        <v>16</v>
      </c>
      <c r="C27" s="1">
        <f>+'Approved Program-Budget Summary'!E29</f>
        <v>270951.71250000002</v>
      </c>
      <c r="D27" s="1">
        <v>295247</v>
      </c>
      <c r="E27" s="13">
        <f t="shared" si="2"/>
        <v>1.089666484392491</v>
      </c>
      <c r="G27" s="1">
        <f>+'Approved Program-Budget Summary'!G29+'Approved Program-Budget Summary'!J29+'Approved Program-Budget Summary'!M29</f>
        <v>217562.21249999999</v>
      </c>
      <c r="H27" s="1">
        <f>+D27</f>
        <v>295247</v>
      </c>
      <c r="I27" s="13">
        <f t="shared" ref="I27:I31" si="5">+H27/G27</f>
        <v>1.3570693026483172</v>
      </c>
    </row>
    <row r="28" spans="2:9" ht="15" x14ac:dyDescent="0.25">
      <c r="B28" s="2" t="s">
        <v>15</v>
      </c>
      <c r="C28" s="1">
        <f>+'Approved Program-Budget Summary'!E30</f>
        <v>318681.82500000001</v>
      </c>
      <c r="D28" s="1">
        <v>199611</v>
      </c>
      <c r="E28" s="13">
        <f t="shared" si="2"/>
        <v>0.6263645565604502</v>
      </c>
      <c r="G28" s="1">
        <f>+'Approved Program-Budget Summary'!G30+'Approved Program-Budget Summary'!J30+'Approved Program-Budget Summary'!M30</f>
        <v>259727.32500000001</v>
      </c>
      <c r="H28" s="1">
        <f>+D28</f>
        <v>199611</v>
      </c>
      <c r="I28" s="13">
        <f t="shared" si="5"/>
        <v>0.76854062236231779</v>
      </c>
    </row>
    <row r="29" spans="2:9" ht="15" x14ac:dyDescent="0.25">
      <c r="B29" t="s">
        <v>7</v>
      </c>
      <c r="C29" s="1">
        <f>+'Approved Program-Budget Summary'!N7</f>
        <v>47961.5</v>
      </c>
      <c r="D29" s="1">
        <v>107682</v>
      </c>
      <c r="E29" s="13">
        <f t="shared" si="2"/>
        <v>2.2451758181041042</v>
      </c>
      <c r="G29" s="1">
        <f>+'Approved Program-Budget Summary'!N7+'Approved Program-Budget Summary'!L7</f>
        <v>119987.25</v>
      </c>
      <c r="H29" s="1">
        <f>+D29</f>
        <v>107682</v>
      </c>
      <c r="I29" s="13">
        <f t="shared" si="5"/>
        <v>0.89744535356881672</v>
      </c>
    </row>
    <row r="30" spans="2:9" ht="15" x14ac:dyDescent="0.25">
      <c r="B30" t="s">
        <v>28</v>
      </c>
      <c r="C30" s="1">
        <v>0</v>
      </c>
      <c r="D30" s="1">
        <v>66144</v>
      </c>
      <c r="E30" s="13"/>
      <c r="G30" s="1">
        <f>+'Approved Program-Budget Summary'!K7</f>
        <v>64046.75</v>
      </c>
      <c r="H30" s="1">
        <f>+D30</f>
        <v>66144</v>
      </c>
      <c r="I30" s="13">
        <f t="shared" si="5"/>
        <v>1.0327456116040237</v>
      </c>
    </row>
    <row r="31" spans="2:9" ht="15" x14ac:dyDescent="0.25">
      <c r="B31" s="2" t="s">
        <v>29</v>
      </c>
      <c r="C31" s="1">
        <f>SUM(C19:C30)</f>
        <v>903056.5625</v>
      </c>
      <c r="D31" s="1">
        <f>SUM(D19:D30)</f>
        <v>825871</v>
      </c>
      <c r="E31" s="13">
        <f t="shared" si="2"/>
        <v>0.91452854039804399</v>
      </c>
      <c r="G31" s="1">
        <f>SUM(G19:G30)</f>
        <v>903056.5625</v>
      </c>
      <c r="H31" s="1">
        <f>+D31</f>
        <v>825871</v>
      </c>
      <c r="I31" s="13">
        <f t="shared" si="5"/>
        <v>0.91452854039804399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Approved Program-Budget Summary</vt:lpstr>
      <vt:lpstr>Table ES1 &amp; ES2</vt:lpstr>
      <vt:lpstr>Table ES1 &amp; ES2 (2)</vt:lpstr>
    </vt:vector>
  </TitlesOfParts>
  <Company>BHC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Don</dc:creator>
  <cp:lastModifiedBy>Douglas, Tina  (PUC)</cp:lastModifiedBy>
  <dcterms:created xsi:type="dcterms:W3CDTF">2016-10-28T19:59:19Z</dcterms:created>
  <dcterms:modified xsi:type="dcterms:W3CDTF">2016-11-16T14:27:30Z</dcterms:modified>
</cp:coreProperties>
</file>